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040" windowHeight="8610" activeTab="2"/>
  </bookViews>
  <sheets>
    <sheet name="УСН" sheetId="4" r:id="rId1"/>
    <sheet name="ЕСХН" sheetId="5" r:id="rId2"/>
    <sheet name="Патент" sheetId="1" r:id="rId3"/>
    <sheet name="Лист1" sheetId="6" r:id="rId4"/>
  </sheets>
  <definedNames>
    <definedName name="_xlnm.Print_Area" localSheetId="1">ЕСХН!$A$1:$H$20</definedName>
    <definedName name="_xlnm.Print_Area" localSheetId="2">Патент!$A$1:$G$10</definedName>
    <definedName name="_xlnm.Print_Area" localSheetId="0">УСН!$A$1:$Q$23</definedName>
  </definedNames>
  <calcPr calcId="145621"/>
</workbook>
</file>

<file path=xl/calcChain.xml><?xml version="1.0" encoding="utf-8"?>
<calcChain xmlns="http://schemas.openxmlformats.org/spreadsheetml/2006/main">
  <c r="D9" i="1" l="1"/>
  <c r="E9" i="1" s="1"/>
  <c r="F9" i="1" s="1"/>
  <c r="G9" i="1" s="1"/>
  <c r="G12" i="5"/>
  <c r="G16" i="5" s="1"/>
  <c r="G17" i="5" s="1"/>
  <c r="H17" i="5" s="1"/>
  <c r="E20" i="5" s="1"/>
  <c r="F20" i="5" s="1"/>
  <c r="G20" i="5" s="1"/>
  <c r="H20" i="5" s="1"/>
  <c r="D12" i="5"/>
  <c r="D16" i="5" s="1"/>
  <c r="D17" i="5" s="1"/>
  <c r="G11" i="5"/>
  <c r="D11" i="5"/>
  <c r="G10" i="5"/>
  <c r="D10" i="5"/>
  <c r="G9" i="5"/>
  <c r="H9" i="5" s="1"/>
  <c r="D9" i="5"/>
  <c r="G8" i="5"/>
  <c r="H8" i="5" s="1"/>
  <c r="D8" i="5"/>
  <c r="H20" i="4"/>
  <c r="I20" i="4" s="1"/>
  <c r="I19" i="4" s="1"/>
  <c r="G19" i="4"/>
  <c r="G21" i="4" s="1"/>
  <c r="H18" i="4"/>
  <c r="H17" i="4"/>
  <c r="B20" i="4" s="1"/>
  <c r="D17" i="4"/>
  <c r="D16" i="4"/>
  <c r="J12" i="4"/>
  <c r="G12" i="4"/>
  <c r="D12" i="4"/>
  <c r="J11" i="4"/>
  <c r="G11" i="4"/>
  <c r="D11" i="4"/>
  <c r="J10" i="4"/>
  <c r="G10" i="4"/>
  <c r="D10" i="4"/>
  <c r="J9" i="4"/>
  <c r="G9" i="4"/>
  <c r="D9" i="4"/>
  <c r="J8" i="4"/>
  <c r="K8" i="4" s="1"/>
  <c r="M8" i="4" s="1"/>
  <c r="O8" i="4" s="1"/>
  <c r="Q8" i="4" s="1"/>
  <c r="G8" i="4"/>
  <c r="D8" i="4"/>
  <c r="H12" i="5" l="1"/>
  <c r="K9" i="4"/>
  <c r="L10" i="4" s="1"/>
  <c r="K11" i="4"/>
  <c r="M11" i="4" s="1"/>
  <c r="O11" i="4" s="1"/>
  <c r="Q11" i="4" s="1"/>
  <c r="H10" i="5"/>
  <c r="H14" i="5" s="1"/>
  <c r="H11" i="5"/>
  <c r="K10" i="4"/>
  <c r="K12" i="4"/>
  <c r="N12" i="4" s="1"/>
  <c r="D14" i="5"/>
  <c r="D15" i="5" s="1"/>
  <c r="H16" i="5"/>
  <c r="G14" i="5"/>
  <c r="G15" i="5" s="1"/>
  <c r="L11" i="4"/>
  <c r="M10" i="4"/>
  <c r="O10" i="4" s="1"/>
  <c r="Q10" i="4" s="1"/>
  <c r="M9" i="4"/>
  <c r="O9" i="4" s="1"/>
  <c r="Q9" i="4" s="1"/>
  <c r="M12" i="4"/>
  <c r="L12" i="4"/>
  <c r="H19" i="4"/>
  <c r="C20" i="4"/>
  <c r="D20" i="4" s="1"/>
  <c r="J20" i="4"/>
  <c r="J19" i="4" s="1"/>
  <c r="J22" i="4" s="1"/>
  <c r="O12" i="4" l="1"/>
  <c r="Q12" i="4" s="1"/>
  <c r="L9" i="4"/>
  <c r="H15" i="5"/>
  <c r="C18" i="4"/>
  <c r="B18" i="4"/>
  <c r="H22" i="4"/>
  <c r="H21" i="4"/>
  <c r="I22" i="4"/>
  <c r="I17" i="4" l="1"/>
  <c r="I18" i="4"/>
  <c r="D18" i="4"/>
  <c r="C21" i="4" l="1"/>
  <c r="J18" i="4"/>
  <c r="C22" i="4" s="1"/>
  <c r="B21" i="4"/>
  <c r="J17" i="4"/>
  <c r="B22" i="4" s="1"/>
  <c r="D22" i="4" l="1"/>
  <c r="D21" i="4"/>
  <c r="P10" i="1" l="1"/>
  <c r="Q10" i="1" s="1"/>
  <c r="P8" i="1"/>
  <c r="Q8" i="1" s="1"/>
</calcChain>
</file>

<file path=xl/comments1.xml><?xml version="1.0" encoding="utf-8"?>
<comments xmlns="http://schemas.openxmlformats.org/spreadsheetml/2006/main">
  <authors>
    <author>Автор</author>
  </authors>
  <commentList>
    <comment ref="K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отмена ЕНВД
</t>
        </r>
      </text>
    </comment>
  </commentList>
</comments>
</file>

<file path=xl/sharedStrings.xml><?xml version="1.0" encoding="utf-8"?>
<sst xmlns="http://schemas.openxmlformats.org/spreadsheetml/2006/main" count="71" uniqueCount="58">
  <si>
    <t>Прогноз</t>
  </si>
  <si>
    <t>ИТОГО:</t>
  </si>
  <si>
    <t>тыс. руб.</t>
  </si>
  <si>
    <t>1 05 01011</t>
  </si>
  <si>
    <t>1 05 01021</t>
  </si>
  <si>
    <t>год</t>
  </si>
  <si>
    <t>по 5-есхн</t>
  </si>
  <si>
    <t>организации</t>
  </si>
  <si>
    <t>ИП</t>
  </si>
  <si>
    <t>всего налог по ставке 6%</t>
  </si>
  <si>
    <t>Налоговая база</t>
  </si>
  <si>
    <t>Сумма убытков, уменьшающих налоговую базу</t>
  </si>
  <si>
    <t>исчислен налог по ставке 6%</t>
  </si>
  <si>
    <t>сумма налога</t>
  </si>
  <si>
    <t>индекс с/х производства по прогнозу СЭР</t>
  </si>
  <si>
    <t>2024г (3%)</t>
  </si>
  <si>
    <t>2025г (5%)</t>
  </si>
  <si>
    <t>2026г (6%)</t>
  </si>
  <si>
    <t>Приложение № 10</t>
  </si>
  <si>
    <t>Приложение № 9</t>
  </si>
  <si>
    <t>Приложение № 11</t>
  </si>
  <si>
    <t>Оценка и прогноз налога, взимаемого в связи с применением упрощенной системы налогообложения в бюджет Промышленновского округа на 2023-2026гг.</t>
  </si>
  <si>
    <t>по 5-усн</t>
  </si>
  <si>
    <t>Сумма налога, подлежащая уплате за налоговый период</t>
  </si>
  <si>
    <t>Сумма минимального налога, подлежащая уплате за налоговый период</t>
  </si>
  <si>
    <t>ВСЕГО налога</t>
  </si>
  <si>
    <t>темп роста к предыдущему периоду</t>
  </si>
  <si>
    <t>доля по БК</t>
  </si>
  <si>
    <t>доля по закону  о МБО</t>
  </si>
  <si>
    <t>Итого доля округа</t>
  </si>
  <si>
    <t>факт</t>
  </si>
  <si>
    <t>уровень собир-ти</t>
  </si>
  <si>
    <t>Доходы (1 05 01011)</t>
  </si>
  <si>
    <t>Доходы, уменьшенные на величину расходов (1 05 01021)</t>
  </si>
  <si>
    <t>орг</t>
  </si>
  <si>
    <t>Темп роста налога всегда выше уровня расчетной инфляции, поэтому в оценку 2023г взяла от факта 2022 года с темпом роста и с учетом уровня собираемости налога, в 2024 - 2026гг по уровню расчетной инфляции 4%</t>
  </si>
  <si>
    <t>2023 (оценка)</t>
  </si>
  <si>
    <t>факт 2022</t>
  </si>
  <si>
    <t>план 2023</t>
  </si>
  <si>
    <t>оценка 2023</t>
  </si>
  <si>
    <t>прогноз:</t>
  </si>
  <si>
    <t>ИТОГО</t>
  </si>
  <si>
    <t>д/н</t>
  </si>
  <si>
    <t>к-т роста к пред.году</t>
  </si>
  <si>
    <t>Оценка и прогноз единого сельскохозяйственного налога в бюджет Промышленновского округа на 2023-2026гг.</t>
  </si>
  <si>
    <t>среднее за 5 лет</t>
  </si>
  <si>
    <t>по ставке 3% (по ср.за 5 лет)</t>
  </si>
  <si>
    <t>расчет от 2022г, в связи с неблагоприятными условиями (ЧС в связи с гибелью посевов)</t>
  </si>
  <si>
    <t>по индексу с/х произв-ва (0,912)</t>
  </si>
  <si>
    <t xml:space="preserve">Оценка 2023 г </t>
  </si>
  <si>
    <t>2027г (6%)</t>
  </si>
  <si>
    <t>Оценка и прогноз налога, взимаемого в связи с применением патентной системы налогообложения на 2023-2026гг.</t>
  </si>
  <si>
    <t>с учетом коэф-та дефлятора 1,058 на 2024г</t>
  </si>
  <si>
    <t>По данным администратора платежа (ИФНС)</t>
  </si>
  <si>
    <t>начислено в 2023г</t>
  </si>
  <si>
    <t>% соб-ти (ср. за 2 года)</t>
  </si>
  <si>
    <t>прогноз по 2023г</t>
  </si>
  <si>
    <t>диф. норматив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</si>
</sst>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#,##0.0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ITC Avant Garde Gothic"/>
      <family val="2"/>
    </font>
    <font>
      <sz val="11"/>
      <color theme="1"/>
      <name val="ITC Avant Garde Gothic"/>
      <family val="2"/>
    </font>
    <font>
      <b/>
      <sz val="11"/>
      <color theme="1"/>
      <name val="ITC Avant Garde Gothic"/>
      <family val="2"/>
    </font>
    <font>
      <i/>
      <sz val="10"/>
      <color theme="1"/>
      <name val="ITC Avant Garde Gothic"/>
      <family val="2"/>
    </font>
    <font>
      <i/>
      <sz val="11"/>
      <color theme="1"/>
      <name val="ITC Avant Garde Gothic"/>
      <family val="2"/>
    </font>
    <font>
      <sz val="8"/>
      <color theme="1"/>
      <name val="ITC Avant Garde Gothic"/>
      <family val="2"/>
    </font>
    <font>
      <sz val="10"/>
      <name val="ITC Avant Garde Gothic"/>
      <family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1"/>
      <color theme="1"/>
      <name val="ITC Avant Garde Gothic"/>
      <family val="2"/>
    </font>
    <font>
      <b/>
      <i/>
      <sz val="10"/>
      <color theme="1"/>
      <name val="ITC Avant Garde Gothic"/>
      <family val="2"/>
    </font>
    <font>
      <b/>
      <i/>
      <sz val="12"/>
      <color theme="1"/>
      <name val="ITC Avant Garde Gothic"/>
      <family val="2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ITC Avant Garde Gothic"/>
      <family val="2"/>
    </font>
    <font>
      <b/>
      <i/>
      <sz val="11"/>
      <color rgb="FF0000FF"/>
      <name val="ITC Avant Garde Gothic"/>
      <family val="2"/>
    </font>
    <font>
      <b/>
      <i/>
      <sz val="9"/>
      <color theme="1"/>
      <name val="ITC Avant Garde Gothic"/>
      <family val="2"/>
    </font>
    <font>
      <b/>
      <i/>
      <sz val="11"/>
      <name val="ITC Avant Garde Gothic"/>
      <family val="2"/>
    </font>
    <font>
      <b/>
      <i/>
      <sz val="14"/>
      <color theme="1"/>
      <name val="Calibri"/>
      <family val="2"/>
      <charset val="204"/>
      <scheme val="minor"/>
    </font>
    <font>
      <b/>
      <i/>
      <sz val="10"/>
      <color rgb="FFFF0000"/>
      <name val="Arial"/>
      <family val="2"/>
      <charset val="204"/>
    </font>
    <font>
      <b/>
      <i/>
      <sz val="11"/>
      <name val="Calibri"/>
      <family val="2"/>
      <scheme val="minor"/>
    </font>
    <font>
      <b/>
      <i/>
      <sz val="10"/>
      <color rgb="FF0000FF"/>
      <name val="Arial"/>
      <family val="2"/>
      <charset val="204"/>
    </font>
    <font>
      <b/>
      <i/>
      <sz val="8"/>
      <color theme="1"/>
      <name val="ITC Avant Garde Gothic"/>
      <family val="2"/>
    </font>
    <font>
      <b/>
      <i/>
      <sz val="11"/>
      <color rgb="FF0033CC"/>
      <name val="ITC Avant Garde Gothic"/>
      <family val="2"/>
    </font>
    <font>
      <b/>
      <i/>
      <sz val="10"/>
      <color rgb="FF0000FF"/>
      <name val="ITC Avant Garde Gothic"/>
      <family val="2"/>
    </font>
    <font>
      <b/>
      <i/>
      <sz val="9"/>
      <color rgb="FFFF0000"/>
      <name val="ITC Avant Garde Gothic"/>
      <family val="2"/>
    </font>
    <font>
      <i/>
      <sz val="9"/>
      <name val="ITC Avant Garde Gothic"/>
      <family val="2"/>
    </font>
    <font>
      <i/>
      <sz val="11"/>
      <name val="ITC Avant Garde Gothic"/>
      <family val="2"/>
    </font>
    <font>
      <i/>
      <sz val="11"/>
      <color rgb="FFFF0000"/>
      <name val="ITC Avant Garde Gothic"/>
      <family val="2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i/>
      <sz val="10"/>
      <color theme="1"/>
      <name val="Calibri"/>
      <family val="2"/>
      <charset val="204"/>
      <scheme val="minor"/>
    </font>
    <font>
      <i/>
      <sz val="9"/>
      <name val="Arial"/>
      <family val="2"/>
      <charset val="204"/>
    </font>
    <font>
      <i/>
      <sz val="10"/>
      <name val="ITC Avant Garde Gothic"/>
      <family val="2"/>
    </font>
    <font>
      <b/>
      <i/>
      <sz val="10"/>
      <name val="Arial"/>
      <family val="2"/>
      <charset val="204"/>
    </font>
    <font>
      <b/>
      <i/>
      <sz val="11"/>
      <color rgb="FFFF0000"/>
      <name val="ITC Avant Garde Gothic"/>
      <family val="2"/>
    </font>
    <font>
      <b/>
      <i/>
      <sz val="11"/>
      <color rgb="FFFF0000"/>
      <name val="Calibri"/>
      <family val="2"/>
      <scheme val="minor"/>
    </font>
    <font>
      <b/>
      <i/>
      <sz val="12"/>
      <color rgb="FF0033CC"/>
      <name val="Calibri"/>
      <family val="2"/>
      <charset val="204"/>
      <scheme val="minor"/>
    </font>
    <font>
      <b/>
      <i/>
      <sz val="14"/>
      <color theme="1"/>
      <name val="ITC Avant Garde Gothic"/>
      <family val="2"/>
    </font>
    <font>
      <i/>
      <sz val="12"/>
      <color theme="1"/>
      <name val="Calibri"/>
      <family val="2"/>
      <charset val="204"/>
      <scheme val="minor"/>
    </font>
    <font>
      <i/>
      <sz val="10"/>
      <color rgb="FFFF0000"/>
      <name val="ITC Avant Garde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44">
    <xf numFmtId="0" fontId="0" fillId="0" borderId="0" xfId="0"/>
    <xf numFmtId="0" fontId="2" fillId="0" borderId="0" xfId="0" applyFont="1"/>
    <xf numFmtId="0" fontId="3" fillId="0" borderId="0" xfId="0" applyFont="1"/>
    <xf numFmtId="1" fontId="3" fillId="0" borderId="0" xfId="0" applyNumberFormat="1" applyFont="1"/>
    <xf numFmtId="0" fontId="3" fillId="3" borderId="0" xfId="0" applyFont="1" applyFill="1"/>
    <xf numFmtId="3" fontId="11" fillId="3" borderId="4" xfId="0" applyNumberFormat="1" applyFont="1" applyFill="1" applyBorder="1"/>
    <xf numFmtId="0" fontId="8" fillId="0" borderId="0" xfId="0" applyFont="1"/>
    <xf numFmtId="0" fontId="2" fillId="0" borderId="0" xfId="0" applyFont="1" applyAlignment="1">
      <alignment horizontal="right"/>
    </xf>
    <xf numFmtId="49" fontId="2" fillId="0" borderId="0" xfId="0" applyNumberFormat="1" applyFont="1"/>
    <xf numFmtId="3" fontId="3" fillId="3" borderId="4" xfId="0" applyNumberFormat="1" applyFont="1" applyFill="1" applyBorder="1"/>
    <xf numFmtId="3" fontId="4" fillId="3" borderId="4" xfId="0" applyNumberFormat="1" applyFont="1" applyFill="1" applyBorder="1"/>
    <xf numFmtId="0" fontId="8" fillId="0" borderId="4" xfId="0" applyFont="1" applyBorder="1"/>
    <xf numFmtId="0" fontId="8" fillId="0" borderId="0" xfId="0" applyFont="1" applyAlignment="1"/>
    <xf numFmtId="0" fontId="7" fillId="3" borderId="0" xfId="0" applyFont="1" applyFill="1"/>
    <xf numFmtId="0" fontId="7" fillId="0" borderId="0" xfId="0" applyFont="1"/>
    <xf numFmtId="3" fontId="5" fillId="2" borderId="4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vertical="center"/>
    </xf>
    <xf numFmtId="1" fontId="2" fillId="0" borderId="0" xfId="0" applyNumberFormat="1" applyFont="1" applyAlignment="1">
      <alignment vertical="center"/>
    </xf>
    <xf numFmtId="1" fontId="2" fillId="0" borderId="0" xfId="0" applyNumberFormat="1" applyFont="1"/>
    <xf numFmtId="0" fontId="2" fillId="3" borderId="0" xfId="0" applyFont="1" applyFill="1"/>
    <xf numFmtId="1" fontId="2" fillId="3" borderId="0" xfId="0" applyNumberFormat="1" applyFont="1" applyFill="1" applyAlignment="1">
      <alignment vertical="center"/>
    </xf>
    <xf numFmtId="1" fontId="2" fillId="3" borderId="0" xfId="0" applyNumberFormat="1" applyFont="1" applyFill="1"/>
    <xf numFmtId="3" fontId="19" fillId="3" borderId="4" xfId="0" applyNumberFormat="1" applyFont="1" applyFill="1" applyBorder="1"/>
    <xf numFmtId="0" fontId="5" fillId="3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0" applyFont="1" applyAlignment="1"/>
    <xf numFmtId="165" fontId="25" fillId="3" borderId="11" xfId="0" applyNumberFormat="1" applyFont="1" applyFill="1" applyBorder="1" applyAlignment="1">
      <alignment horizontal="center" vertical="center"/>
    </xf>
    <xf numFmtId="165" fontId="25" fillId="3" borderId="14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18" xfId="0" applyFont="1" applyBorder="1" applyAlignment="1">
      <alignment horizontal="center"/>
    </xf>
    <xf numFmtId="0" fontId="16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Continuous" vertical="center" wrapText="1"/>
    </xf>
    <xf numFmtId="0" fontId="11" fillId="0" borderId="0" xfId="0" applyFont="1" applyAlignment="1">
      <alignment horizontal="centerContinuous" vertical="center" wrapText="1"/>
    </xf>
    <xf numFmtId="0" fontId="0" fillId="0" borderId="0" xfId="0" applyAlignment="1">
      <alignment horizontal="centerContinuous" vertical="center"/>
    </xf>
    <xf numFmtId="0" fontId="6" fillId="0" borderId="0" xfId="0" applyFont="1"/>
    <xf numFmtId="0" fontId="27" fillId="0" borderId="2" xfId="0" applyFont="1" applyBorder="1"/>
    <xf numFmtId="0" fontId="16" fillId="0" borderId="9" xfId="0" applyFont="1" applyBorder="1" applyAlignment="1">
      <alignment horizontal="center" vertical="center"/>
    </xf>
    <xf numFmtId="9" fontId="16" fillId="0" borderId="4" xfId="0" applyNumberFormat="1" applyFont="1" applyBorder="1" applyAlignment="1">
      <alignment horizontal="center" vertical="center"/>
    </xf>
    <xf numFmtId="10" fontId="16" fillId="0" borderId="4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11" fillId="5" borderId="8" xfId="0" applyFont="1" applyFill="1" applyBorder="1"/>
    <xf numFmtId="0" fontId="6" fillId="0" borderId="16" xfId="0" applyFont="1" applyBorder="1"/>
    <xf numFmtId="0" fontId="6" fillId="0" borderId="4" xfId="0" applyFont="1" applyBorder="1"/>
    <xf numFmtId="0" fontId="6" fillId="6" borderId="4" xfId="0" applyFont="1" applyFill="1" applyBorder="1"/>
    <xf numFmtId="0" fontId="11" fillId="6" borderId="4" xfId="0" applyFont="1" applyFill="1" applyBorder="1"/>
    <xf numFmtId="0" fontId="19" fillId="0" borderId="3" xfId="0" applyFont="1" applyBorder="1" applyAlignment="1">
      <alignment horizontal="center" wrapText="1"/>
    </xf>
    <xf numFmtId="3" fontId="29" fillId="0" borderId="4" xfId="0" applyNumberFormat="1" applyFont="1" applyBorder="1"/>
    <xf numFmtId="3" fontId="30" fillId="3" borderId="4" xfId="0" applyNumberFormat="1" applyFont="1" applyFill="1" applyBorder="1"/>
    <xf numFmtId="3" fontId="11" fillId="5" borderId="8" xfId="0" applyNumberFormat="1" applyFont="1" applyFill="1" applyBorder="1"/>
    <xf numFmtId="3" fontId="6" fillId="0" borderId="4" xfId="0" applyNumberFormat="1" applyFont="1" applyBorder="1"/>
    <xf numFmtId="3" fontId="11" fillId="6" borderId="4" xfId="0" applyNumberFormat="1" applyFont="1" applyFill="1" applyBorder="1"/>
    <xf numFmtId="165" fontId="11" fillId="6" borderId="4" xfId="0" applyNumberFormat="1" applyFont="1" applyFill="1" applyBorder="1"/>
    <xf numFmtId="0" fontId="5" fillId="0" borderId="4" xfId="0" applyFont="1" applyBorder="1"/>
    <xf numFmtId="0" fontId="19" fillId="0" borderId="10" xfId="0" applyFont="1" applyBorder="1" applyAlignment="1">
      <alignment horizontal="center" wrapText="1"/>
    </xf>
    <xf numFmtId="3" fontId="29" fillId="0" borderId="11" xfId="0" applyNumberFormat="1" applyFont="1" applyBorder="1"/>
    <xf numFmtId="3" fontId="30" fillId="3" borderId="11" xfId="0" applyNumberFormat="1" applyFont="1" applyFill="1" applyBorder="1"/>
    <xf numFmtId="3" fontId="11" fillId="5" borderId="14" xfId="0" applyNumberFormat="1" applyFont="1" applyFill="1" applyBorder="1"/>
    <xf numFmtId="0" fontId="5" fillId="7" borderId="16" xfId="0" applyFont="1" applyFill="1" applyBorder="1"/>
    <xf numFmtId="0" fontId="16" fillId="7" borderId="4" xfId="0" applyFont="1" applyFill="1" applyBorder="1"/>
    <xf numFmtId="0" fontId="16" fillId="0" borderId="0" xfId="0" applyFont="1"/>
    <xf numFmtId="0" fontId="24" fillId="0" borderId="4" xfId="0" applyFont="1" applyBorder="1" applyAlignment="1">
      <alignment horizontal="center"/>
    </xf>
    <xf numFmtId="0" fontId="31" fillId="0" borderId="4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31" fillId="6" borderId="4" xfId="0" applyFont="1" applyFill="1" applyBorder="1"/>
    <xf numFmtId="1" fontId="29" fillId="0" borderId="4" xfId="0" applyNumberFormat="1" applyFont="1" applyBorder="1"/>
    <xf numFmtId="3" fontId="19" fillId="0" borderId="4" xfId="0" applyNumberFormat="1" applyFont="1" applyBorder="1"/>
    <xf numFmtId="4" fontId="19" fillId="0" borderId="4" xfId="0" applyNumberFormat="1" applyFont="1" applyBorder="1"/>
    <xf numFmtId="4" fontId="19" fillId="0" borderId="4" xfId="0" applyNumberFormat="1" applyFont="1" applyBorder="1" applyAlignment="1">
      <alignment horizontal="right"/>
    </xf>
    <xf numFmtId="3" fontId="28" fillId="0" borderId="0" xfId="0" applyNumberFormat="1" applyFont="1" applyBorder="1"/>
    <xf numFmtId="0" fontId="0" fillId="0" borderId="4" xfId="0" applyBorder="1" applyAlignment="1">
      <alignment vertical="center"/>
    </xf>
    <xf numFmtId="0" fontId="34" fillId="0" borderId="4" xfId="0" applyFont="1" applyBorder="1" applyAlignment="1">
      <alignment vertical="center"/>
    </xf>
    <xf numFmtId="3" fontId="12" fillId="3" borderId="4" xfId="0" applyNumberFormat="1" applyFont="1" applyFill="1" applyBorder="1" applyAlignment="1">
      <alignment wrapText="1"/>
    </xf>
    <xf numFmtId="0" fontId="35" fillId="0" borderId="4" xfId="0" applyFont="1" applyBorder="1" applyAlignment="1">
      <alignment horizontal="center" vertical="center"/>
    </xf>
    <xf numFmtId="0" fontId="0" fillId="0" borderId="6" xfId="0" applyBorder="1" applyAlignment="1"/>
    <xf numFmtId="0" fontId="0" fillId="0" borderId="4" xfId="0" applyBorder="1" applyAlignment="1"/>
    <xf numFmtId="0" fontId="22" fillId="0" borderId="4" xfId="0" applyFont="1" applyBorder="1"/>
    <xf numFmtId="3" fontId="37" fillId="3" borderId="4" xfId="0" applyNumberFormat="1" applyFont="1" applyFill="1" applyBorder="1" applyAlignment="1">
      <alignment vertical="center"/>
    </xf>
    <xf numFmtId="0" fontId="38" fillId="0" borderId="4" xfId="0" applyFont="1" applyBorder="1" applyAlignment="1">
      <alignment vertical="center"/>
    </xf>
    <xf numFmtId="3" fontId="19" fillId="4" borderId="4" xfId="0" applyNumberFormat="1" applyFont="1" applyFill="1" applyBorder="1" applyAlignment="1">
      <alignment vertical="center"/>
    </xf>
    <xf numFmtId="0" fontId="22" fillId="4" borderId="4" xfId="0" applyFont="1" applyFill="1" applyBorder="1" applyAlignment="1">
      <alignment vertical="center"/>
    </xf>
    <xf numFmtId="3" fontId="39" fillId="3" borderId="4" xfId="0" applyNumberFormat="1" applyFont="1" applyFill="1" applyBorder="1" applyAlignment="1">
      <alignment horizontal="center" vertical="center"/>
    </xf>
    <xf numFmtId="3" fontId="39" fillId="0" borderId="4" xfId="0" applyNumberFormat="1" applyFont="1" applyBorder="1" applyAlignment="1">
      <alignment horizontal="center" vertical="center"/>
    </xf>
    <xf numFmtId="0" fontId="26" fillId="0" borderId="4" xfId="0" applyFont="1" applyBorder="1"/>
    <xf numFmtId="0" fontId="36" fillId="0" borderId="0" xfId="0" applyFont="1"/>
    <xf numFmtId="165" fontId="41" fillId="0" borderId="0" xfId="0" applyNumberFormat="1" applyFont="1" applyAlignment="1">
      <alignment horizontal="left"/>
    </xf>
    <xf numFmtId="0" fontId="3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165" fontId="17" fillId="3" borderId="11" xfId="0" applyNumberFormat="1" applyFont="1" applyFill="1" applyBorder="1" applyAlignment="1">
      <alignment horizontal="center" vertical="center"/>
    </xf>
    <xf numFmtId="10" fontId="0" fillId="0" borderId="11" xfId="0" applyNumberFormat="1" applyBorder="1" applyAlignment="1">
      <alignment horizontal="center" vertical="center"/>
    </xf>
    <xf numFmtId="165" fontId="25" fillId="3" borderId="26" xfId="0" applyNumberFormat="1" applyFont="1" applyFill="1" applyBorder="1" applyAlignment="1">
      <alignment horizontal="center" vertical="center"/>
    </xf>
    <xf numFmtId="3" fontId="35" fillId="0" borderId="4" xfId="0" applyNumberFormat="1" applyFont="1" applyBorder="1" applyAlignment="1">
      <alignment horizontal="center" vertical="center"/>
    </xf>
    <xf numFmtId="3" fontId="42" fillId="3" borderId="4" xfId="0" applyNumberFormat="1" applyFont="1" applyFill="1" applyBorder="1" applyAlignment="1">
      <alignment horizontal="center" vertical="center"/>
    </xf>
    <xf numFmtId="0" fontId="33" fillId="0" borderId="4" xfId="0" applyFont="1" applyBorder="1" applyAlignment="1">
      <alignment wrapText="1"/>
    </xf>
    <xf numFmtId="0" fontId="28" fillId="0" borderId="6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28" fillId="0" borderId="20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18" fillId="5" borderId="23" xfId="0" applyFont="1" applyFill="1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0" fontId="16" fillId="0" borderId="16" xfId="0" applyFont="1" applyBorder="1" applyAlignment="1">
      <alignment horizontal="center" wrapText="1"/>
    </xf>
    <xf numFmtId="0" fontId="18" fillId="6" borderId="5" xfId="0" applyFont="1" applyFill="1" applyBorder="1" applyAlignment="1">
      <alignment horizontal="center" vertical="center" wrapText="1"/>
    </xf>
    <xf numFmtId="0" fontId="18" fillId="6" borderId="12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wrapText="1"/>
    </xf>
    <xf numFmtId="0" fontId="14" fillId="0" borderId="15" xfId="0" applyFont="1" applyBorder="1" applyAlignment="1">
      <alignment horizontal="center" wrapText="1"/>
    </xf>
    <xf numFmtId="0" fontId="14" fillId="0" borderId="16" xfId="0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36" fillId="0" borderId="6" xfId="0" applyFont="1" applyBorder="1" applyAlignment="1">
      <alignment horizontal="center" wrapText="1"/>
    </xf>
    <xf numFmtId="0" fontId="36" fillId="0" borderId="15" xfId="0" applyFont="1" applyBorder="1" applyAlignment="1">
      <alignment horizontal="center" wrapText="1"/>
    </xf>
    <xf numFmtId="0" fontId="36" fillId="0" borderId="16" xfId="0" applyFont="1" applyBorder="1" applyAlignment="1">
      <alignment horizontal="center" wrapText="1"/>
    </xf>
    <xf numFmtId="0" fontId="20" fillId="0" borderId="0" xfId="0" applyFont="1" applyAlignment="1">
      <alignment horizontal="center" wrapText="1"/>
    </xf>
    <xf numFmtId="0" fontId="12" fillId="0" borderId="6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21" fillId="0" borderId="6" xfId="0" applyFont="1" applyBorder="1" applyAlignment="1">
      <alignment horizontal="center" wrapText="1"/>
    </xf>
    <xf numFmtId="0" fontId="21" fillId="0" borderId="15" xfId="0" applyFont="1" applyBorder="1" applyAlignment="1">
      <alignment horizontal="center" wrapText="1"/>
    </xf>
    <xf numFmtId="0" fontId="21" fillId="0" borderId="16" xfId="0" applyFont="1" applyBorder="1" applyAlignment="1">
      <alignment horizontal="center" wrapText="1"/>
    </xf>
    <xf numFmtId="0" fontId="23" fillId="0" borderId="6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40" fillId="0" borderId="0" xfId="0" applyFont="1" applyAlignment="1">
      <alignment horizontal="center" vertical="center" wrapText="1"/>
    </xf>
    <xf numFmtId="0" fontId="36" fillId="0" borderId="2" xfId="0" applyFont="1" applyBorder="1" applyAlignment="1">
      <alignment horizontal="center" wrapText="1"/>
    </xf>
    <xf numFmtId="0" fontId="36" fillId="0" borderId="25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Q23"/>
  <sheetViews>
    <sheetView zoomScaleNormal="100" workbookViewId="0">
      <selection activeCell="Q23" sqref="A1:Q23"/>
    </sheetView>
  </sheetViews>
  <sheetFormatPr defaultRowHeight="15" x14ac:dyDescent="0.25"/>
  <cols>
    <col min="1" max="1" width="19.28515625" customWidth="1"/>
    <col min="2" max="2" width="8.7109375" bestFit="1" customWidth="1"/>
    <col min="3" max="3" width="8.7109375" customWidth="1"/>
    <col min="4" max="4" width="8.5703125" customWidth="1"/>
    <col min="5" max="5" width="8.7109375" bestFit="1" customWidth="1"/>
    <col min="6" max="6" width="10.28515625" customWidth="1"/>
    <col min="7" max="7" width="9.140625" customWidth="1"/>
    <col min="8" max="9" width="8.7109375" bestFit="1" customWidth="1"/>
    <col min="10" max="10" width="8.140625" bestFit="1" customWidth="1"/>
    <col min="11" max="11" width="9.7109375" customWidth="1"/>
    <col min="12" max="12" width="10.42578125" bestFit="1" customWidth="1"/>
    <col min="13" max="13" width="9.5703125" customWidth="1"/>
    <col min="15" max="15" width="11.7109375" customWidth="1"/>
    <col min="16" max="16" width="11.42578125" customWidth="1"/>
    <col min="17" max="17" width="9.140625" customWidth="1"/>
    <col min="18" max="29" width="20.5703125" customWidth="1"/>
  </cols>
  <sheetData>
    <row r="1" spans="1:17" ht="16.149999999999999" customHeight="1" x14ac:dyDescent="0.25">
      <c r="O1" s="99" t="s">
        <v>19</v>
      </c>
      <c r="P1" s="99"/>
      <c r="Q1" s="99"/>
    </row>
    <row r="3" spans="1:17" ht="35.25" customHeight="1" x14ac:dyDescent="0.25">
      <c r="A3" s="31" t="s">
        <v>21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3"/>
      <c r="O3" s="33"/>
      <c r="P3" s="33"/>
      <c r="Q3" s="33"/>
    </row>
    <row r="4" spans="1:17" ht="15.75" thickBot="1" x14ac:dyDescent="0.3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17" ht="36" x14ac:dyDescent="0.25">
      <c r="A5" s="35" t="s">
        <v>22</v>
      </c>
      <c r="B5" s="100" t="s">
        <v>23</v>
      </c>
      <c r="C5" s="101"/>
      <c r="D5" s="101"/>
      <c r="E5" s="101"/>
      <c r="F5" s="101"/>
      <c r="G5" s="102"/>
      <c r="H5" s="100" t="s">
        <v>24</v>
      </c>
      <c r="I5" s="101"/>
      <c r="J5" s="102"/>
      <c r="K5" s="106" t="s">
        <v>25</v>
      </c>
      <c r="L5" s="108" t="s">
        <v>26</v>
      </c>
      <c r="M5" s="30" t="s">
        <v>27</v>
      </c>
      <c r="N5" s="30" t="s">
        <v>28</v>
      </c>
      <c r="O5" s="109" t="s">
        <v>29</v>
      </c>
      <c r="P5" s="109" t="s">
        <v>30</v>
      </c>
      <c r="Q5" s="111" t="s">
        <v>31</v>
      </c>
    </row>
    <row r="6" spans="1:17" ht="30.75" customHeight="1" x14ac:dyDescent="0.25">
      <c r="A6" s="36" t="s">
        <v>5</v>
      </c>
      <c r="B6" s="95" t="s">
        <v>32</v>
      </c>
      <c r="C6" s="96"/>
      <c r="D6" s="97"/>
      <c r="E6" s="98" t="s">
        <v>33</v>
      </c>
      <c r="F6" s="98"/>
      <c r="G6" s="98"/>
      <c r="H6" s="103"/>
      <c r="I6" s="104"/>
      <c r="J6" s="105"/>
      <c r="K6" s="107"/>
      <c r="L6" s="108"/>
      <c r="M6" s="37">
        <v>0.3</v>
      </c>
      <c r="N6" s="38">
        <v>0.18590000000000001</v>
      </c>
      <c r="O6" s="110"/>
      <c r="P6" s="110"/>
      <c r="Q6" s="112"/>
    </row>
    <row r="7" spans="1:17" x14ac:dyDescent="0.25">
      <c r="A7" s="39"/>
      <c r="B7" s="92" t="s">
        <v>34</v>
      </c>
      <c r="C7" s="92" t="s">
        <v>8</v>
      </c>
      <c r="D7" s="93" t="s">
        <v>1</v>
      </c>
      <c r="E7" s="92" t="s">
        <v>34</v>
      </c>
      <c r="F7" s="92" t="s">
        <v>8</v>
      </c>
      <c r="G7" s="93" t="s">
        <v>1</v>
      </c>
      <c r="H7" s="92" t="s">
        <v>34</v>
      </c>
      <c r="I7" s="92" t="s">
        <v>8</v>
      </c>
      <c r="J7" s="93" t="s">
        <v>1</v>
      </c>
      <c r="K7" s="40"/>
      <c r="L7" s="41"/>
      <c r="M7" s="42"/>
      <c r="N7" s="42"/>
      <c r="O7" s="43"/>
      <c r="P7" s="44"/>
      <c r="Q7" s="42"/>
    </row>
    <row r="8" spans="1:17" x14ac:dyDescent="0.25">
      <c r="A8" s="45">
        <v>2018</v>
      </c>
      <c r="B8" s="46">
        <v>4718</v>
      </c>
      <c r="C8" s="46">
        <v>18174</v>
      </c>
      <c r="D8" s="47">
        <f>+C8+B8</f>
        <v>22892</v>
      </c>
      <c r="E8" s="46">
        <v>3420</v>
      </c>
      <c r="F8" s="46">
        <v>1117</v>
      </c>
      <c r="G8" s="47">
        <f>+F8+E8</f>
        <v>4537</v>
      </c>
      <c r="H8" s="46">
        <v>2769</v>
      </c>
      <c r="I8" s="46">
        <v>254</v>
      </c>
      <c r="J8" s="47">
        <f>+I8+H8</f>
        <v>3023</v>
      </c>
      <c r="K8" s="48">
        <f>+J8+G8+D8</f>
        <v>30452</v>
      </c>
      <c r="L8" s="41"/>
      <c r="M8" s="49">
        <f>+K8*30%</f>
        <v>9135.6</v>
      </c>
      <c r="N8" s="42"/>
      <c r="O8" s="50">
        <f t="shared" ref="O8:O10" si="0">+M8+N8</f>
        <v>9135.6</v>
      </c>
      <c r="P8" s="51">
        <v>8347.2000000000007</v>
      </c>
      <c r="Q8" s="52">
        <f>+P8/O8</f>
        <v>0.9137002495730987</v>
      </c>
    </row>
    <row r="9" spans="1:17" x14ac:dyDescent="0.25">
      <c r="A9" s="45">
        <v>2019</v>
      </c>
      <c r="B9" s="46">
        <v>4957</v>
      </c>
      <c r="C9" s="46">
        <v>17154</v>
      </c>
      <c r="D9" s="47">
        <f>+B9+C9</f>
        <v>22111</v>
      </c>
      <c r="E9" s="46">
        <v>4217</v>
      </c>
      <c r="F9" s="46">
        <v>2543</v>
      </c>
      <c r="G9" s="47">
        <f>+E9+F9</f>
        <v>6760</v>
      </c>
      <c r="H9" s="46">
        <v>4425</v>
      </c>
      <c r="I9" s="46">
        <v>370</v>
      </c>
      <c r="J9" s="47">
        <f>+H9+I9</f>
        <v>4795</v>
      </c>
      <c r="K9" s="48">
        <f t="shared" ref="K9:K12" si="1">+J9+G9+D9</f>
        <v>33666</v>
      </c>
      <c r="L9" s="41">
        <f>+K9/K8</f>
        <v>1.1055431498752135</v>
      </c>
      <c r="M9" s="49">
        <f>+K9*30%</f>
        <v>10099.799999999999</v>
      </c>
      <c r="N9" s="42"/>
      <c r="O9" s="50">
        <f t="shared" si="0"/>
        <v>10099.799999999999</v>
      </c>
      <c r="P9" s="51">
        <v>10566.5</v>
      </c>
      <c r="Q9" s="52">
        <f>+P9/O9</f>
        <v>1.0462088358185311</v>
      </c>
    </row>
    <row r="10" spans="1:17" x14ac:dyDescent="0.25">
      <c r="A10" s="45">
        <v>2020</v>
      </c>
      <c r="B10" s="46">
        <v>3446</v>
      </c>
      <c r="C10" s="46">
        <v>26011</v>
      </c>
      <c r="D10" s="47">
        <f>+B10+C10</f>
        <v>29457</v>
      </c>
      <c r="E10" s="46">
        <v>4899</v>
      </c>
      <c r="F10" s="46">
        <v>2144</v>
      </c>
      <c r="G10" s="47">
        <f>+E10+F10</f>
        <v>7043</v>
      </c>
      <c r="H10" s="46">
        <v>4143</v>
      </c>
      <c r="I10" s="46">
        <v>357</v>
      </c>
      <c r="J10" s="47">
        <f t="shared" ref="J10:J12" si="2">+I10+H10</f>
        <v>4500</v>
      </c>
      <c r="K10" s="48">
        <f t="shared" si="1"/>
        <v>41000</v>
      </c>
      <c r="L10" s="41">
        <f>+K10/K9</f>
        <v>1.2178458979385731</v>
      </c>
      <c r="M10" s="49">
        <f>+K10*30%</f>
        <v>12300</v>
      </c>
      <c r="N10" s="42"/>
      <c r="O10" s="50">
        <f t="shared" si="0"/>
        <v>12300</v>
      </c>
      <c r="P10" s="51">
        <v>10874.2</v>
      </c>
      <c r="Q10" s="52">
        <f>+P10/O10</f>
        <v>0.88408130081300818</v>
      </c>
    </row>
    <row r="11" spans="1:17" x14ac:dyDescent="0.25">
      <c r="A11" s="45">
        <v>2021</v>
      </c>
      <c r="B11" s="46">
        <v>7814</v>
      </c>
      <c r="C11" s="46">
        <v>30945</v>
      </c>
      <c r="D11" s="47">
        <f>+B11+C11</f>
        <v>38759</v>
      </c>
      <c r="E11" s="46">
        <v>7171</v>
      </c>
      <c r="F11" s="46">
        <v>15093</v>
      </c>
      <c r="G11" s="47">
        <f>+E11+F11</f>
        <v>22264</v>
      </c>
      <c r="H11" s="46">
        <v>5302</v>
      </c>
      <c r="I11" s="46">
        <v>2570</v>
      </c>
      <c r="J11" s="47">
        <f t="shared" si="2"/>
        <v>7872</v>
      </c>
      <c r="K11" s="48">
        <f t="shared" si="1"/>
        <v>68895</v>
      </c>
      <c r="L11" s="41">
        <f>+K11/K10</f>
        <v>1.6803658536585366</v>
      </c>
      <c r="M11" s="49">
        <f>+K11*30%</f>
        <v>20668.5</v>
      </c>
      <c r="N11" s="49"/>
      <c r="O11" s="50">
        <f>+M11+N11</f>
        <v>20668.5</v>
      </c>
      <c r="P11" s="51">
        <v>17896.5</v>
      </c>
      <c r="Q11" s="52">
        <f>+P11/O11</f>
        <v>0.86588286522969737</v>
      </c>
    </row>
    <row r="12" spans="1:17" ht="15.75" thickBot="1" x14ac:dyDescent="0.3">
      <c r="A12" s="53">
        <v>2022</v>
      </c>
      <c r="B12" s="54">
        <v>3567</v>
      </c>
      <c r="C12" s="54">
        <v>42380</v>
      </c>
      <c r="D12" s="55">
        <f>+B12+C12</f>
        <v>45947</v>
      </c>
      <c r="E12" s="54">
        <v>15287</v>
      </c>
      <c r="F12" s="54">
        <v>12578</v>
      </c>
      <c r="G12" s="55">
        <f>+E12+F12</f>
        <v>27865</v>
      </c>
      <c r="H12" s="54">
        <v>5141</v>
      </c>
      <c r="I12" s="54">
        <v>2816</v>
      </c>
      <c r="J12" s="55">
        <f t="shared" si="2"/>
        <v>7957</v>
      </c>
      <c r="K12" s="56">
        <f t="shared" si="1"/>
        <v>81769</v>
      </c>
      <c r="L12" s="57">
        <f>+K12/K11</f>
        <v>1.1868640685100516</v>
      </c>
      <c r="M12" s="49">
        <f>+K12*30%</f>
        <v>24530.7</v>
      </c>
      <c r="N12" s="49">
        <f>+K12*18.59%</f>
        <v>15200.857100000001</v>
      </c>
      <c r="O12" s="50">
        <f t="shared" ref="O12" si="3">+M12+N12</f>
        <v>39731.557100000005</v>
      </c>
      <c r="P12" s="51">
        <v>38684.9</v>
      </c>
      <c r="Q12" s="58">
        <f>+P12/O12</f>
        <v>0.97365678124907906</v>
      </c>
    </row>
    <row r="13" spans="1:17" x14ac:dyDescent="0.25">
      <c r="A13" s="59" t="s">
        <v>35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</row>
    <row r="14" spans="1:17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</row>
    <row r="15" spans="1:17" ht="25.5" x14ac:dyDescent="0.25">
      <c r="A15" s="42"/>
      <c r="B15" s="60" t="s">
        <v>3</v>
      </c>
      <c r="C15" s="60" t="s">
        <v>4</v>
      </c>
      <c r="D15" s="60" t="s">
        <v>1</v>
      </c>
      <c r="E15" s="34"/>
      <c r="F15" s="60"/>
      <c r="G15" s="61" t="s">
        <v>36</v>
      </c>
      <c r="H15" s="62">
        <v>2024</v>
      </c>
      <c r="I15" s="62">
        <v>2025</v>
      </c>
      <c r="J15" s="62">
        <v>2026</v>
      </c>
      <c r="K15" s="34"/>
      <c r="L15" s="34"/>
      <c r="M15" s="34"/>
      <c r="N15" s="34"/>
      <c r="O15" s="34"/>
      <c r="P15" s="34"/>
      <c r="Q15" s="34"/>
    </row>
    <row r="16" spans="1:17" ht="36" customHeight="1" x14ac:dyDescent="0.25">
      <c r="A16" s="63" t="s">
        <v>37</v>
      </c>
      <c r="B16" s="46">
        <v>22118</v>
      </c>
      <c r="C16" s="46">
        <v>16564</v>
      </c>
      <c r="D16" s="46">
        <f>+C16+B16</f>
        <v>38682</v>
      </c>
      <c r="E16" s="34"/>
      <c r="F16" s="94" t="s">
        <v>57</v>
      </c>
      <c r="G16" s="64">
        <v>18.59</v>
      </c>
      <c r="H16" s="64">
        <v>18.59</v>
      </c>
      <c r="I16" s="64">
        <v>24.63</v>
      </c>
      <c r="J16" s="64">
        <v>20.9</v>
      </c>
      <c r="K16" s="34"/>
      <c r="L16" s="34"/>
      <c r="M16" s="34"/>
      <c r="N16" s="34"/>
      <c r="O16" s="34"/>
      <c r="P16" s="34"/>
      <c r="Q16" s="34"/>
    </row>
    <row r="17" spans="1:17" x14ac:dyDescent="0.25">
      <c r="A17" s="63" t="s">
        <v>38</v>
      </c>
      <c r="B17" s="46">
        <v>23526</v>
      </c>
      <c r="C17" s="46">
        <v>17922</v>
      </c>
      <c r="D17" s="46">
        <f>+C17+B17</f>
        <v>41448</v>
      </c>
      <c r="E17" s="34"/>
      <c r="F17" s="65">
        <v>10501011</v>
      </c>
      <c r="G17" s="46">
        <v>24151</v>
      </c>
      <c r="H17" s="46">
        <f>ROUND(G17*1.04,0)</f>
        <v>25117</v>
      </c>
      <c r="I17" s="46">
        <f>ROUND(H17*I22,0)</f>
        <v>29369</v>
      </c>
      <c r="J17" s="46">
        <f>ROUND(I17*J22,0)</f>
        <v>28458</v>
      </c>
      <c r="K17" s="34"/>
      <c r="L17" s="34"/>
      <c r="M17" s="34"/>
      <c r="N17" s="34"/>
      <c r="O17" s="34"/>
      <c r="P17" s="34"/>
      <c r="Q17" s="34"/>
    </row>
    <row r="18" spans="1:17" x14ac:dyDescent="0.25">
      <c r="A18" s="63" t="s">
        <v>39</v>
      </c>
      <c r="B18" s="66">
        <f>ROUND(B16*L12*0.92,0)</f>
        <v>24151</v>
      </c>
      <c r="C18" s="66">
        <f>ROUND(C16*L12*0.92,0)</f>
        <v>18086</v>
      </c>
      <c r="D18" s="66">
        <f t="shared" ref="D18:D22" si="4">+C18+B18</f>
        <v>42237</v>
      </c>
      <c r="E18" s="34"/>
      <c r="F18" s="65">
        <v>10501021</v>
      </c>
      <c r="G18" s="46">
        <v>18086</v>
      </c>
      <c r="H18" s="46">
        <f>ROUND(G18*1.04,0)</f>
        <v>18809</v>
      </c>
      <c r="I18" s="46">
        <f>ROUND(H18*I22,0)</f>
        <v>21994</v>
      </c>
      <c r="J18" s="46">
        <f>ROUND(I18*J22,0)</f>
        <v>21312</v>
      </c>
      <c r="K18" s="34"/>
      <c r="L18" s="34"/>
      <c r="M18" s="34"/>
      <c r="N18" s="34"/>
      <c r="O18" s="34"/>
      <c r="P18" s="34"/>
      <c r="Q18" s="34"/>
    </row>
    <row r="19" spans="1:17" x14ac:dyDescent="0.25">
      <c r="A19" s="52" t="s">
        <v>40</v>
      </c>
      <c r="B19" s="66"/>
      <c r="C19" s="66"/>
      <c r="D19" s="66"/>
      <c r="E19" s="34"/>
      <c r="F19" s="66" t="s">
        <v>41</v>
      </c>
      <c r="G19" s="66">
        <f>SUM(G17:G18)</f>
        <v>42237</v>
      </c>
      <c r="H19" s="66">
        <f>SUM(H17:H18)</f>
        <v>43926</v>
      </c>
      <c r="I19" s="66">
        <f>+I20+I21</f>
        <v>51363</v>
      </c>
      <c r="J19" s="66">
        <f>+J20+J21</f>
        <v>49770.240000000005</v>
      </c>
      <c r="K19" s="34"/>
      <c r="L19" s="34"/>
      <c r="M19" s="34"/>
      <c r="N19" s="34"/>
      <c r="O19" s="34"/>
      <c r="P19" s="34"/>
      <c r="Q19" s="34"/>
    </row>
    <row r="20" spans="1:17" x14ac:dyDescent="0.25">
      <c r="A20" s="52">
        <v>2024</v>
      </c>
      <c r="B20" s="66">
        <f>+H17</f>
        <v>25117</v>
      </c>
      <c r="C20" s="66">
        <f>+H18</f>
        <v>18809</v>
      </c>
      <c r="D20" s="66">
        <f t="shared" si="4"/>
        <v>43926</v>
      </c>
      <c r="E20" s="34"/>
      <c r="F20" s="67">
        <v>30</v>
      </c>
      <c r="G20" s="46">
        <v>26078</v>
      </c>
      <c r="H20" s="46">
        <f>ROUND(G20*1.04,0)</f>
        <v>27121</v>
      </c>
      <c r="I20" s="46">
        <f>ROUND(H20*1.04,0)</f>
        <v>28206</v>
      </c>
      <c r="J20" s="46">
        <f>+I20*1.04</f>
        <v>29334.240000000002</v>
      </c>
      <c r="K20" s="34"/>
      <c r="L20" s="34"/>
      <c r="M20" s="34"/>
      <c r="N20" s="34"/>
      <c r="O20" s="34"/>
      <c r="P20" s="34"/>
      <c r="Q20" s="34"/>
    </row>
    <row r="21" spans="1:17" x14ac:dyDescent="0.25">
      <c r="A21" s="52">
        <v>2025</v>
      </c>
      <c r="B21" s="66">
        <f>+I17</f>
        <v>29369</v>
      </c>
      <c r="C21" s="66">
        <f>+I18</f>
        <v>21994</v>
      </c>
      <c r="D21" s="66">
        <f t="shared" si="4"/>
        <v>51363</v>
      </c>
      <c r="E21" s="34"/>
      <c r="F21" s="68" t="s">
        <v>42</v>
      </c>
      <c r="G21" s="46">
        <f>+G19-G20</f>
        <v>16159</v>
      </c>
      <c r="H21" s="46">
        <f>ROUND(H19-H20,0)</f>
        <v>16805</v>
      </c>
      <c r="I21" s="46">
        <v>23157</v>
      </c>
      <c r="J21" s="46">
        <v>20436</v>
      </c>
      <c r="K21" s="34"/>
      <c r="L21" s="34"/>
      <c r="M21" s="34"/>
      <c r="N21" s="34"/>
      <c r="O21" s="34"/>
      <c r="P21" s="34"/>
      <c r="Q21" s="34"/>
    </row>
    <row r="22" spans="1:17" x14ac:dyDescent="0.25">
      <c r="A22" s="52">
        <v>2026</v>
      </c>
      <c r="B22" s="66">
        <f>+J17</f>
        <v>28458</v>
      </c>
      <c r="C22" s="66">
        <f>+J18</f>
        <v>21312</v>
      </c>
      <c r="D22" s="66">
        <f t="shared" si="4"/>
        <v>49770</v>
      </c>
      <c r="E22" s="34"/>
      <c r="F22" s="69" t="s">
        <v>43</v>
      </c>
      <c r="G22" s="70"/>
      <c r="H22" s="71">
        <f>+H19/G19</f>
        <v>1.0399886355565027</v>
      </c>
      <c r="I22" s="71">
        <f>+I19/H19</f>
        <v>1.1693074716568774</v>
      </c>
      <c r="J22" s="71">
        <f>+J19/I19</f>
        <v>0.96899012908124538</v>
      </c>
      <c r="K22" s="34"/>
      <c r="L22" s="34"/>
      <c r="M22" s="34"/>
      <c r="N22" s="34"/>
      <c r="O22" s="34"/>
      <c r="P22" s="34"/>
      <c r="Q22" s="34"/>
    </row>
    <row r="23" spans="1:17" x14ac:dyDescent="0.2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</row>
  </sheetData>
  <mergeCells count="10">
    <mergeCell ref="B6:D6"/>
    <mergeCell ref="E6:G6"/>
    <mergeCell ref="O1:Q1"/>
    <mergeCell ref="B5:G5"/>
    <mergeCell ref="H5:J6"/>
    <mergeCell ref="K5:K6"/>
    <mergeCell ref="L5:L6"/>
    <mergeCell ref="O5:O6"/>
    <mergeCell ref="P5:P6"/>
    <mergeCell ref="Q5:Q6"/>
  </mergeCells>
  <pageMargins left="0.51181102362204722" right="0" top="0.74803149606299213" bottom="0.15748031496062992" header="0.31496062992125984" footer="0.31496062992125984"/>
  <pageSetup paperSize="9" scale="82" firstPageNumber="113" orientation="landscape" useFirstPageNumber="1" r:id="rId1"/>
  <headerFoot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22"/>
  <sheetViews>
    <sheetView zoomScaleNormal="100" workbookViewId="0">
      <selection activeCell="F16" sqref="F16"/>
    </sheetView>
  </sheetViews>
  <sheetFormatPr defaultRowHeight="15" x14ac:dyDescent="0.25"/>
  <cols>
    <col min="1" max="1" width="14.28515625" customWidth="1"/>
    <col min="2" max="2" width="12.140625" customWidth="1"/>
    <col min="3" max="3" width="14.7109375" customWidth="1"/>
    <col min="4" max="4" width="13.7109375" customWidth="1"/>
    <col min="5" max="8" width="14.7109375" customWidth="1"/>
  </cols>
  <sheetData>
    <row r="1" spans="1:8" x14ac:dyDescent="0.25">
      <c r="G1" s="116" t="s">
        <v>18</v>
      </c>
      <c r="H1" s="116"/>
    </row>
    <row r="2" spans="1:8" x14ac:dyDescent="0.25">
      <c r="G2" s="28"/>
      <c r="H2" s="28"/>
    </row>
    <row r="3" spans="1:8" x14ac:dyDescent="0.25">
      <c r="G3" s="28"/>
      <c r="H3" s="28"/>
    </row>
    <row r="4" spans="1:8" ht="39" customHeight="1" x14ac:dyDescent="0.3">
      <c r="A4" s="120" t="s">
        <v>44</v>
      </c>
      <c r="B4" s="120"/>
      <c r="C4" s="120"/>
      <c r="D4" s="120"/>
      <c r="E4" s="120"/>
      <c r="F4" s="120"/>
      <c r="G4" s="120"/>
      <c r="H4" s="120"/>
    </row>
    <row r="5" spans="1:8" ht="15.75" customHeight="1" x14ac:dyDescent="0.25">
      <c r="B5" s="7"/>
      <c r="C5" s="8"/>
      <c r="G5" s="29" t="s">
        <v>2</v>
      </c>
      <c r="H5" s="29"/>
    </row>
    <row r="6" spans="1:8" x14ac:dyDescent="0.25">
      <c r="A6" s="72" t="s">
        <v>6</v>
      </c>
      <c r="B6" s="121" t="s">
        <v>7</v>
      </c>
      <c r="C6" s="122"/>
      <c r="D6" s="123"/>
      <c r="E6" s="124" t="s">
        <v>8</v>
      </c>
      <c r="F6" s="125"/>
      <c r="G6" s="126"/>
      <c r="H6" s="111" t="s">
        <v>9</v>
      </c>
    </row>
    <row r="7" spans="1:8" ht="42" customHeight="1" x14ac:dyDescent="0.25">
      <c r="A7" s="30" t="s">
        <v>5</v>
      </c>
      <c r="B7" s="30" t="s">
        <v>10</v>
      </c>
      <c r="C7" s="30" t="s">
        <v>11</v>
      </c>
      <c r="D7" s="30" t="s">
        <v>12</v>
      </c>
      <c r="E7" s="30" t="s">
        <v>10</v>
      </c>
      <c r="F7" s="30" t="s">
        <v>11</v>
      </c>
      <c r="G7" s="30" t="s">
        <v>12</v>
      </c>
      <c r="H7" s="112"/>
    </row>
    <row r="8" spans="1:8" ht="15.75" customHeight="1" x14ac:dyDescent="0.25">
      <c r="A8" s="73">
        <v>2018</v>
      </c>
      <c r="B8" s="9">
        <v>104785</v>
      </c>
      <c r="C8" s="9">
        <v>6505</v>
      </c>
      <c r="D8" s="9">
        <f t="shared" ref="D8:D12" si="0">+(B8-C8)*6%</f>
        <v>5896.8</v>
      </c>
      <c r="E8" s="9">
        <v>22576</v>
      </c>
      <c r="F8" s="9">
        <v>3654</v>
      </c>
      <c r="G8" s="9">
        <f t="shared" ref="G8:G12" si="1">+(E8-F8)*6%</f>
        <v>1135.32</v>
      </c>
      <c r="H8" s="9">
        <f t="shared" ref="H8:H12" si="2">+G8+D8</f>
        <v>7032.12</v>
      </c>
    </row>
    <row r="9" spans="1:8" x14ac:dyDescent="0.25">
      <c r="A9" s="73">
        <v>2019</v>
      </c>
      <c r="B9" s="9">
        <v>282976</v>
      </c>
      <c r="C9" s="9">
        <v>147395</v>
      </c>
      <c r="D9" s="9">
        <f t="shared" si="0"/>
        <v>8134.86</v>
      </c>
      <c r="E9" s="9">
        <v>42240</v>
      </c>
      <c r="F9" s="9">
        <v>384</v>
      </c>
      <c r="G9" s="9">
        <f t="shared" si="1"/>
        <v>2511.36</v>
      </c>
      <c r="H9" s="9">
        <f t="shared" si="2"/>
        <v>10646.22</v>
      </c>
    </row>
    <row r="10" spans="1:8" x14ac:dyDescent="0.25">
      <c r="A10" s="73">
        <v>2020</v>
      </c>
      <c r="B10" s="9">
        <v>748325</v>
      </c>
      <c r="C10" s="9">
        <v>452144</v>
      </c>
      <c r="D10" s="9">
        <f t="shared" si="0"/>
        <v>17770.86</v>
      </c>
      <c r="E10" s="9">
        <v>56048</v>
      </c>
      <c r="F10" s="9">
        <v>278</v>
      </c>
      <c r="G10" s="9">
        <f t="shared" si="1"/>
        <v>3346.2</v>
      </c>
      <c r="H10" s="9">
        <f t="shared" si="2"/>
        <v>21117.06</v>
      </c>
    </row>
    <row r="11" spans="1:8" x14ac:dyDescent="0.25">
      <c r="A11" s="73">
        <v>2021</v>
      </c>
      <c r="B11" s="9">
        <v>307200</v>
      </c>
      <c r="C11" s="9">
        <v>7991</v>
      </c>
      <c r="D11" s="9">
        <f t="shared" si="0"/>
        <v>17952.54</v>
      </c>
      <c r="E11" s="9">
        <v>96494</v>
      </c>
      <c r="F11" s="9">
        <v>12551</v>
      </c>
      <c r="G11" s="9">
        <f t="shared" si="1"/>
        <v>5036.58</v>
      </c>
      <c r="H11" s="9">
        <f t="shared" si="2"/>
        <v>22989.120000000003</v>
      </c>
    </row>
    <row r="12" spans="1:8" x14ac:dyDescent="0.25">
      <c r="A12" s="73">
        <v>2022</v>
      </c>
      <c r="B12" s="9">
        <v>131387</v>
      </c>
      <c r="C12" s="9">
        <v>3523</v>
      </c>
      <c r="D12" s="9">
        <f t="shared" si="0"/>
        <v>7671.84</v>
      </c>
      <c r="E12" s="9">
        <v>78998</v>
      </c>
      <c r="F12" s="9">
        <v>68</v>
      </c>
      <c r="G12" s="9">
        <f t="shared" si="1"/>
        <v>4735.8</v>
      </c>
      <c r="H12" s="9">
        <f t="shared" si="2"/>
        <v>12407.64</v>
      </c>
    </row>
    <row r="13" spans="1:8" x14ac:dyDescent="0.25">
      <c r="A13" s="73">
        <v>2023</v>
      </c>
      <c r="B13" s="9"/>
      <c r="C13" s="9"/>
      <c r="D13" s="9"/>
      <c r="E13" s="9"/>
      <c r="F13" s="9"/>
      <c r="G13" s="9"/>
      <c r="H13" s="9"/>
    </row>
    <row r="14" spans="1:8" ht="15" customHeight="1" x14ac:dyDescent="0.25">
      <c r="A14" s="127" t="s">
        <v>45</v>
      </c>
      <c r="B14" s="128"/>
      <c r="C14" s="129"/>
      <c r="D14" s="5">
        <f>SUM(D8:D12)/5</f>
        <v>11485.38</v>
      </c>
      <c r="E14" s="74"/>
      <c r="F14" s="75"/>
      <c r="G14" s="5">
        <f>SUM(G8:G12)/5</f>
        <v>3353.0519999999997</v>
      </c>
      <c r="H14" s="10">
        <f>SUM(H8:H10)/3</f>
        <v>12931.800000000001</v>
      </c>
    </row>
    <row r="15" spans="1:8" x14ac:dyDescent="0.25">
      <c r="A15" s="117" t="s">
        <v>46</v>
      </c>
      <c r="B15" s="118"/>
      <c r="C15" s="119"/>
      <c r="D15" s="22">
        <f>ROUND(+D14*3%/6%,0)</f>
        <v>5743</v>
      </c>
      <c r="E15" s="76"/>
      <c r="F15" s="76"/>
      <c r="G15" s="22">
        <f>ROUND(+G14*3%/6%,0)</f>
        <v>1677</v>
      </c>
      <c r="H15" s="22">
        <f>+G15+D15</f>
        <v>7420</v>
      </c>
    </row>
    <row r="16" spans="1:8" ht="38.25" customHeight="1" x14ac:dyDescent="0.25">
      <c r="A16" s="130" t="s">
        <v>47</v>
      </c>
      <c r="B16" s="131"/>
      <c r="C16" s="132"/>
      <c r="D16" s="77">
        <f>+D12*3%/6%</f>
        <v>3835.92</v>
      </c>
      <c r="E16" s="78"/>
      <c r="F16" s="78"/>
      <c r="G16" s="77">
        <f>+G12*3%/6%</f>
        <v>2367.9</v>
      </c>
      <c r="H16" s="77">
        <f>+G16+D16</f>
        <v>6203.82</v>
      </c>
    </row>
    <row r="17" spans="1:8" ht="24" customHeight="1" x14ac:dyDescent="0.25">
      <c r="A17" s="133" t="s">
        <v>48</v>
      </c>
      <c r="B17" s="134"/>
      <c r="C17" s="135"/>
      <c r="D17" s="79">
        <f>ROUND(D16*0.912,0)</f>
        <v>3498</v>
      </c>
      <c r="E17" s="80"/>
      <c r="F17" s="80"/>
      <c r="G17" s="79">
        <f>ROUND(G16*0.912,0)</f>
        <v>2160</v>
      </c>
      <c r="H17" s="79">
        <f>+G17+D17</f>
        <v>5658</v>
      </c>
    </row>
    <row r="18" spans="1:8" x14ac:dyDescent="0.25">
      <c r="A18" s="136"/>
      <c r="B18" s="136"/>
      <c r="C18" s="136"/>
      <c r="D18" s="137" t="s">
        <v>49</v>
      </c>
      <c r="E18" s="138" t="s">
        <v>0</v>
      </c>
      <c r="F18" s="139"/>
      <c r="G18" s="139"/>
      <c r="H18" s="140"/>
    </row>
    <row r="19" spans="1:8" x14ac:dyDescent="0.25">
      <c r="A19" s="136"/>
      <c r="B19" s="136"/>
      <c r="C19" s="136"/>
      <c r="D19" s="137"/>
      <c r="E19" s="23" t="s">
        <v>15</v>
      </c>
      <c r="F19" s="24" t="s">
        <v>16</v>
      </c>
      <c r="G19" s="24" t="s">
        <v>17</v>
      </c>
      <c r="H19" s="24" t="s">
        <v>50</v>
      </c>
    </row>
    <row r="20" spans="1:8" ht="15" customHeight="1" x14ac:dyDescent="0.25">
      <c r="A20" s="127" t="s">
        <v>13</v>
      </c>
      <c r="B20" s="128"/>
      <c r="C20" s="129"/>
      <c r="D20" s="81">
        <v>2550</v>
      </c>
      <c r="E20" s="82">
        <f>+H17</f>
        <v>5658</v>
      </c>
      <c r="F20" s="82">
        <f>ROUND(E20*E21/100*5%/3%,0)</f>
        <v>9590</v>
      </c>
      <c r="G20" s="82">
        <f>ROUND(F20*F21/100*6%/5%,0)</f>
        <v>11819</v>
      </c>
      <c r="H20" s="82">
        <f>ROUND(G20*G21/100,0)</f>
        <v>12185</v>
      </c>
    </row>
    <row r="21" spans="1:8" x14ac:dyDescent="0.25">
      <c r="A21" s="113" t="s">
        <v>14</v>
      </c>
      <c r="B21" s="114"/>
      <c r="C21" s="115"/>
      <c r="D21" s="11"/>
      <c r="E21" s="83">
        <v>101.7</v>
      </c>
      <c r="F21" s="83">
        <v>102.7</v>
      </c>
      <c r="G21" s="83">
        <v>103.1</v>
      </c>
      <c r="H21" s="11"/>
    </row>
    <row r="22" spans="1:8" x14ac:dyDescent="0.25">
      <c r="A22" s="12"/>
      <c r="B22" s="12"/>
      <c r="C22" s="12"/>
      <c r="D22" s="12"/>
      <c r="E22" s="12"/>
      <c r="F22" s="12"/>
      <c r="G22" s="12"/>
      <c r="H22" s="6"/>
    </row>
  </sheetData>
  <sortState ref="A36:H47">
    <sortCondition ref="A36"/>
  </sortState>
  <mergeCells count="14">
    <mergeCell ref="A21:C21"/>
    <mergeCell ref="G1:H1"/>
    <mergeCell ref="A15:C15"/>
    <mergeCell ref="A4:H4"/>
    <mergeCell ref="B6:D6"/>
    <mergeCell ref="E6:G6"/>
    <mergeCell ref="H6:H7"/>
    <mergeCell ref="A20:C20"/>
    <mergeCell ref="A14:C14"/>
    <mergeCell ref="A16:C16"/>
    <mergeCell ref="A17:C17"/>
    <mergeCell ref="A18:C19"/>
    <mergeCell ref="D18:D19"/>
    <mergeCell ref="E18:H18"/>
  </mergeCells>
  <pageMargins left="0.70866141732283472" right="0.70866141732283472" top="0.74803149606299213" bottom="0.74803149606299213" header="0.31496062992125984" footer="0.31496062992125984"/>
  <pageSetup paperSize="9" firstPageNumber="114" orientation="landscape" useFirstPageNumber="1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S17"/>
  <sheetViews>
    <sheetView tabSelected="1" workbookViewId="0">
      <selection activeCell="G10" sqref="A1:G10"/>
    </sheetView>
  </sheetViews>
  <sheetFormatPr defaultColWidth="9.140625" defaultRowHeight="14.25" x14ac:dyDescent="0.2"/>
  <cols>
    <col min="1" max="1" width="27.42578125" style="1" customWidth="1"/>
    <col min="2" max="2" width="19.5703125" style="1" customWidth="1"/>
    <col min="3" max="3" width="12.7109375" style="1" bestFit="1" customWidth="1"/>
    <col min="4" max="5" width="12.7109375" style="2" bestFit="1" customWidth="1"/>
    <col min="6" max="6" width="11" style="2" customWidth="1"/>
    <col min="7" max="8" width="12" style="2" customWidth="1"/>
    <col min="9" max="9" width="14.85546875" style="2" customWidth="1"/>
    <col min="10" max="10" width="15.7109375" style="2" customWidth="1"/>
    <col min="11" max="11" width="11" style="2" customWidth="1"/>
    <col min="12" max="14" width="10.5703125" style="2" customWidth="1"/>
    <col min="15" max="15" width="2.28515625" style="2" customWidth="1"/>
    <col min="16" max="16" width="9.85546875" style="3" hidden="1" customWidth="1"/>
    <col min="17" max="17" width="7.7109375" style="3" hidden="1" customWidth="1"/>
    <col min="18" max="18" width="9.140625" style="2"/>
    <col min="19" max="19" width="10.42578125" style="2" bestFit="1" customWidth="1"/>
    <col min="20" max="16384" width="9.140625" style="2"/>
  </cols>
  <sheetData>
    <row r="1" spans="1:19" x14ac:dyDescent="0.2">
      <c r="E1" s="25" t="s">
        <v>20</v>
      </c>
      <c r="M1" s="25"/>
      <c r="N1" s="25"/>
    </row>
    <row r="2" spans="1:19" x14ac:dyDescent="0.2">
      <c r="H2" s="25"/>
      <c r="M2" s="25"/>
      <c r="N2" s="25"/>
    </row>
    <row r="3" spans="1:19" ht="51.75" customHeight="1" x14ac:dyDescent="0.2">
      <c r="A3" s="141" t="s">
        <v>51</v>
      </c>
      <c r="B3" s="141"/>
      <c r="C3" s="141"/>
      <c r="D3" s="141"/>
      <c r="E3" s="141"/>
      <c r="F3" s="141"/>
      <c r="G3" s="141"/>
      <c r="O3" s="1"/>
      <c r="P3" s="17"/>
      <c r="Q3" s="18"/>
    </row>
    <row r="4" spans="1:19" ht="12.75" customHeight="1" x14ac:dyDescent="0.2">
      <c r="A4" s="2"/>
      <c r="B4" s="2"/>
      <c r="C4" s="2"/>
      <c r="O4" s="1"/>
      <c r="P4" s="17"/>
      <c r="Q4" s="18"/>
    </row>
    <row r="5" spans="1:19" ht="11.25" customHeight="1" x14ac:dyDescent="0.25">
      <c r="A5"/>
      <c r="B5"/>
      <c r="C5"/>
      <c r="D5"/>
      <c r="E5"/>
      <c r="F5"/>
      <c r="G5"/>
      <c r="O5" s="1"/>
      <c r="P5" s="17"/>
      <c r="Q5" s="18"/>
    </row>
    <row r="6" spans="1:19" ht="15.75" x14ac:dyDescent="0.25">
      <c r="A6" s="84" t="s">
        <v>52</v>
      </c>
      <c r="B6"/>
      <c r="C6" s="85"/>
      <c r="D6"/>
      <c r="E6"/>
      <c r="F6"/>
      <c r="G6"/>
      <c r="O6" s="1"/>
      <c r="P6" s="17"/>
      <c r="Q6" s="18"/>
    </row>
    <row r="7" spans="1:19" ht="15.75" thickBot="1" x14ac:dyDescent="0.3">
      <c r="A7"/>
      <c r="B7"/>
      <c r="C7"/>
      <c r="D7"/>
      <c r="E7"/>
      <c r="F7"/>
      <c r="G7" s="34" t="s">
        <v>2</v>
      </c>
      <c r="O7" s="1"/>
      <c r="P7" s="17"/>
      <c r="Q7" s="18"/>
    </row>
    <row r="8" spans="1:19" s="4" customFormat="1" ht="32.25" customHeight="1" x14ac:dyDescent="0.2">
      <c r="A8" s="142" t="s">
        <v>53</v>
      </c>
      <c r="B8" s="86" t="s">
        <v>54</v>
      </c>
      <c r="C8" s="86" t="s">
        <v>55</v>
      </c>
      <c r="D8" s="86" t="s">
        <v>56</v>
      </c>
      <c r="E8" s="87">
        <v>2024</v>
      </c>
      <c r="F8" s="87">
        <v>2025</v>
      </c>
      <c r="G8" s="88">
        <v>2026</v>
      </c>
      <c r="H8" s="2"/>
      <c r="I8" s="2"/>
      <c r="J8" s="2"/>
      <c r="K8" s="2"/>
      <c r="L8" s="2"/>
      <c r="M8" s="2"/>
      <c r="N8" s="2"/>
      <c r="O8" s="19"/>
      <c r="P8" s="16" t="e">
        <f>+E8/#REF!</f>
        <v>#REF!</v>
      </c>
      <c r="Q8" s="15" t="e">
        <f>+P8*#REF!</f>
        <v>#REF!</v>
      </c>
      <c r="S8" s="13"/>
    </row>
    <row r="9" spans="1:19" s="4" customFormat="1" ht="15.75" thickBot="1" x14ac:dyDescent="0.25">
      <c r="A9" s="143"/>
      <c r="B9" s="89">
        <v>6599</v>
      </c>
      <c r="C9" s="90">
        <v>0.97360000000000002</v>
      </c>
      <c r="D9" s="89">
        <f>ROUND(B9*C9,0)</f>
        <v>6425</v>
      </c>
      <c r="E9" s="91">
        <f>ROUND(D9*1.04*1.058,0)</f>
        <v>7070</v>
      </c>
      <c r="F9" s="26">
        <f>ROUND(E9*1.04,0)</f>
        <v>7353</v>
      </c>
      <c r="G9" s="27">
        <f>ROUND(F9*1.04,0)</f>
        <v>7647</v>
      </c>
      <c r="H9" s="2"/>
      <c r="I9" s="2"/>
      <c r="J9" s="2"/>
      <c r="K9" s="2"/>
      <c r="L9" s="2"/>
      <c r="M9" s="2"/>
      <c r="N9" s="2"/>
      <c r="O9" s="19"/>
      <c r="P9" s="20"/>
      <c r="Q9" s="21"/>
      <c r="S9" s="13"/>
    </row>
    <row r="10" spans="1:19" x14ac:dyDescent="0.2">
      <c r="A10" s="2"/>
      <c r="B10" s="2"/>
      <c r="C10" s="2"/>
      <c r="O10" s="1"/>
      <c r="P10" s="16" t="e">
        <f>+E10/#REF!</f>
        <v>#REF!</v>
      </c>
      <c r="Q10" s="15" t="e">
        <f>+P10*#REF!</f>
        <v>#REF!</v>
      </c>
      <c r="S10" s="14"/>
    </row>
    <row r="11" spans="1:19" x14ac:dyDescent="0.2">
      <c r="A11" s="2"/>
      <c r="B11" s="2"/>
      <c r="C11" s="2"/>
      <c r="O11" s="1"/>
      <c r="P11" s="18"/>
      <c r="Q11" s="18"/>
    </row>
    <row r="12" spans="1:19" x14ac:dyDescent="0.2">
      <c r="A12" s="2"/>
      <c r="B12" s="2"/>
      <c r="C12" s="2"/>
      <c r="O12" s="1"/>
      <c r="P12" s="18"/>
      <c r="Q12" s="18"/>
    </row>
    <row r="13" spans="1:19" ht="39.6" hidden="1" customHeight="1" x14ac:dyDescent="0.2">
      <c r="A13" s="2"/>
      <c r="B13" s="2"/>
      <c r="C13" s="2"/>
      <c r="O13" s="1"/>
      <c r="P13" s="18"/>
      <c r="Q13" s="18"/>
    </row>
    <row r="14" spans="1:19" x14ac:dyDescent="0.2">
      <c r="A14" s="2"/>
      <c r="B14" s="2"/>
      <c r="C14" s="2"/>
      <c r="O14" s="1"/>
      <c r="P14" s="18"/>
      <c r="Q14" s="18"/>
    </row>
    <row r="15" spans="1:19" x14ac:dyDescent="0.2">
      <c r="A15" s="2"/>
      <c r="B15" s="2"/>
      <c r="C15" s="2"/>
      <c r="O15" s="1"/>
      <c r="P15" s="18"/>
      <c r="Q15" s="18"/>
    </row>
    <row r="16" spans="1:19" x14ac:dyDescent="0.2">
      <c r="A16" s="2"/>
      <c r="B16" s="2"/>
      <c r="C16" s="2"/>
      <c r="O16" s="1"/>
      <c r="P16" s="1"/>
      <c r="Q16" s="1"/>
    </row>
    <row r="17" spans="1:3" x14ac:dyDescent="0.2">
      <c r="A17" s="2"/>
      <c r="B17" s="2"/>
      <c r="C17" s="2"/>
    </row>
  </sheetData>
  <mergeCells count="2">
    <mergeCell ref="A3:G3"/>
    <mergeCell ref="A8:A9"/>
  </mergeCells>
  <pageMargins left="0.70866141732283472" right="0.70866141732283472" top="0.74803149606299213" bottom="0.74803149606299213" header="0.31496062992125984" footer="0.31496062992125984"/>
  <pageSetup paperSize="9" firstPageNumber="115" fitToHeight="10" orientation="landscape" useFirstPageNumber="1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УСН</vt:lpstr>
      <vt:lpstr>ЕСХН</vt:lpstr>
      <vt:lpstr>Патент</vt:lpstr>
      <vt:lpstr>Лист1</vt:lpstr>
      <vt:lpstr>ЕСХН!Область_печати</vt:lpstr>
      <vt:lpstr>Патент!Область_печати</vt:lpstr>
      <vt:lpstr>УСН!Область_печати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Кручинская О.Н.</dc:creator>
  <cp:lastModifiedBy>Кручинская О.Н.</cp:lastModifiedBy>
  <cp:lastPrinted>2023-11-10T04:04:54Z</cp:lastPrinted>
  <dcterms:created xsi:type="dcterms:W3CDTF">2021-09-30T09:52:23Z</dcterms:created>
  <dcterms:modified xsi:type="dcterms:W3CDTF">2023-11-10T04:04:55Z</dcterms:modified>
</cp:coreProperties>
</file>