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610"/>
  </bookViews>
  <sheets>
    <sheet name="прогноз ндфл 2024-2026" sheetId="11" r:id="rId1"/>
    <sheet name="10102010" sheetId="12" r:id="rId2"/>
    <sheet name="10102080" sheetId="3" r:id="rId3"/>
    <sheet name="10102130" sheetId="5" r:id="rId4"/>
    <sheet name="2023-2026" sheetId="10" r:id="rId5"/>
  </sheets>
  <definedNames>
    <definedName name="_xlnm.Print_Area" localSheetId="2">'10102080'!$A$1:$E$19</definedName>
    <definedName name="_xlnm.Print_Area" localSheetId="3">'10102130'!$A$1:$E$45</definedName>
    <definedName name="_xlnm.Print_Area" localSheetId="4">'2023-2026'!$J$12:$N$22</definedName>
    <definedName name="_xlnm.Print_Area" localSheetId="0">'прогноз ндфл 2024-2026'!$A$1:$O$24</definedName>
  </definedNames>
  <calcPr calcId="145621"/>
</workbook>
</file>

<file path=xl/calcChain.xml><?xml version="1.0" encoding="utf-8"?>
<calcChain xmlns="http://schemas.openxmlformats.org/spreadsheetml/2006/main">
  <c r="L16" i="10" l="1"/>
  <c r="L15" i="10"/>
  <c r="K15" i="10"/>
  <c r="K16" i="10"/>
  <c r="K18" i="10"/>
  <c r="K17" i="10"/>
  <c r="N17" i="11" l="1"/>
  <c r="D17" i="11"/>
  <c r="B17" i="11"/>
  <c r="O16" i="11"/>
  <c r="M16" i="11"/>
  <c r="J16" i="11"/>
  <c r="H16" i="11"/>
  <c r="E16" i="11"/>
  <c r="C16" i="11"/>
  <c r="O15" i="11"/>
  <c r="N15" i="11"/>
  <c r="J15" i="11"/>
  <c r="I15" i="11"/>
  <c r="I17" i="11" s="1"/>
  <c r="E15" i="11"/>
  <c r="D15" i="11"/>
  <c r="O14" i="11"/>
  <c r="M14" i="11"/>
  <c r="J14" i="11"/>
  <c r="H14" i="11"/>
  <c r="E14" i="11"/>
  <c r="C14" i="11"/>
  <c r="O13" i="11"/>
  <c r="M13" i="11"/>
  <c r="J13" i="11"/>
  <c r="H13" i="11"/>
  <c r="E13" i="11"/>
  <c r="C13" i="11"/>
  <c r="O12" i="11"/>
  <c r="M12" i="11"/>
  <c r="J12" i="11"/>
  <c r="H12" i="11"/>
  <c r="E12" i="11"/>
  <c r="C12" i="11"/>
  <c r="G11" i="11"/>
  <c r="H11" i="11" s="1"/>
  <c r="E11" i="11"/>
  <c r="C11" i="11"/>
  <c r="E17" i="11" l="1"/>
  <c r="J11" i="11"/>
  <c r="J17" i="11" s="1"/>
  <c r="H17" i="11"/>
  <c r="I18" i="11" s="1"/>
  <c r="J18" i="11" s="1"/>
  <c r="C17" i="11"/>
  <c r="D18" i="11" s="1"/>
  <c r="E18" i="11" s="1"/>
  <c r="G17" i="11"/>
  <c r="L11" i="11"/>
  <c r="G164" i="12"/>
  <c r="G227" i="12"/>
  <c r="G210" i="12"/>
  <c r="G148" i="12"/>
  <c r="G138" i="12"/>
  <c r="G128" i="12"/>
  <c r="G253" i="12"/>
  <c r="G216" i="12"/>
  <c r="G242" i="12"/>
  <c r="G243" i="12"/>
  <c r="G241" i="12"/>
  <c r="G189" i="12"/>
  <c r="G107" i="12"/>
  <c r="G109" i="12"/>
  <c r="G124" i="12"/>
  <c r="G126" i="12"/>
  <c r="G197" i="12"/>
  <c r="G135" i="12"/>
  <c r="G182" i="12"/>
  <c r="G205" i="12"/>
  <c r="G196" i="12"/>
  <c r="G257" i="12"/>
  <c r="G266" i="12"/>
  <c r="G272" i="12"/>
  <c r="G271" i="12"/>
  <c r="G270" i="12"/>
  <c r="G269" i="12"/>
  <c r="G268" i="12"/>
  <c r="G279" i="12"/>
  <c r="G278" i="12"/>
  <c r="G277" i="12"/>
  <c r="G276" i="12"/>
  <c r="G275" i="12"/>
  <c r="G274" i="12"/>
  <c r="G244" i="12"/>
  <c r="G47" i="12"/>
  <c r="G20" i="12"/>
  <c r="O11" i="11" l="1"/>
  <c r="O17" i="11" s="1"/>
  <c r="L17" i="11"/>
  <c r="M11" i="11"/>
  <c r="M17" i="11" s="1"/>
  <c r="N18" i="11" s="1"/>
  <c r="O18" i="11" s="1"/>
  <c r="G160" i="12"/>
  <c r="G108" i="12"/>
  <c r="G93" i="12"/>
  <c r="G91" i="12"/>
  <c r="G92" i="12"/>
  <c r="G258" i="12" l="1"/>
  <c r="G273" i="12" l="1"/>
  <c r="G267" i="12"/>
  <c r="G265" i="12"/>
  <c r="G264" i="12"/>
  <c r="G263" i="12"/>
  <c r="G262" i="12"/>
  <c r="G261" i="12"/>
  <c r="G282" i="12"/>
  <c r="G236" i="12"/>
  <c r="G39" i="12"/>
  <c r="G38" i="12"/>
  <c r="G37" i="12"/>
  <c r="G36" i="12"/>
  <c r="G34" i="12"/>
  <c r="G33" i="12"/>
  <c r="G32" i="12"/>
  <c r="G31" i="12"/>
  <c r="G30" i="12"/>
  <c r="G29" i="12"/>
  <c r="G26" i="12"/>
  <c r="G27" i="12"/>
  <c r="G28" i="12"/>
  <c r="G24" i="12"/>
  <c r="G23" i="12"/>
  <c r="G9" i="12"/>
  <c r="F289" i="12"/>
  <c r="E289" i="12"/>
  <c r="D289" i="12"/>
  <c r="C285" i="12"/>
  <c r="C289" i="12" s="1"/>
  <c r="G284" i="12"/>
  <c r="G283" i="12"/>
  <c r="G281" i="12"/>
  <c r="G280" i="12"/>
  <c r="G260" i="12"/>
  <c r="G259" i="12"/>
  <c r="G256" i="12"/>
  <c r="G255" i="12"/>
  <c r="G254" i="12"/>
  <c r="G252" i="12"/>
  <c r="G251" i="12"/>
  <c r="G250" i="12"/>
  <c r="G249" i="12"/>
  <c r="G248" i="12"/>
  <c r="G247" i="12"/>
  <c r="G246" i="12"/>
  <c r="G245" i="12"/>
  <c r="G240" i="12"/>
  <c r="G239" i="12"/>
  <c r="G238" i="12"/>
  <c r="G237" i="12"/>
  <c r="G235" i="12"/>
  <c r="G234" i="12"/>
  <c r="G233" i="12"/>
  <c r="G232" i="12"/>
  <c r="G231" i="12"/>
  <c r="G230" i="12"/>
  <c r="G229" i="12"/>
  <c r="G228" i="12"/>
  <c r="G226" i="12"/>
  <c r="G225" i="12"/>
  <c r="G224" i="12"/>
  <c r="G223" i="12"/>
  <c r="G222" i="12"/>
  <c r="G221" i="12"/>
  <c r="G220" i="12"/>
  <c r="G219" i="12"/>
  <c r="G218" i="12"/>
  <c r="G217" i="12"/>
  <c r="G215" i="12"/>
  <c r="G214" i="12"/>
  <c r="G213" i="12"/>
  <c r="G212" i="12"/>
  <c r="G211" i="12"/>
  <c r="G209" i="12"/>
  <c r="G208" i="12"/>
  <c r="G207" i="12"/>
  <c r="G206" i="12"/>
  <c r="G204" i="12"/>
  <c r="G203" i="12"/>
  <c r="G202" i="12"/>
  <c r="G201" i="12"/>
  <c r="G200" i="12"/>
  <c r="G199" i="12"/>
  <c r="G198" i="12"/>
  <c r="G195" i="12"/>
  <c r="G194" i="12"/>
  <c r="G193" i="12"/>
  <c r="G192" i="12"/>
  <c r="G191" i="12"/>
  <c r="G190" i="12"/>
  <c r="G188" i="12"/>
  <c r="G187" i="12"/>
  <c r="G186" i="12"/>
  <c r="G185" i="12"/>
  <c r="G184" i="12"/>
  <c r="G183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3" i="12"/>
  <c r="G162" i="12"/>
  <c r="G161" i="12"/>
  <c r="G159" i="12"/>
  <c r="G158" i="12"/>
  <c r="G157" i="12"/>
  <c r="G156" i="12"/>
  <c r="G155" i="12"/>
  <c r="G154" i="12"/>
  <c r="G153" i="12"/>
  <c r="G152" i="12"/>
  <c r="G151" i="12"/>
  <c r="G150" i="12"/>
  <c r="G149" i="12"/>
  <c r="G147" i="12"/>
  <c r="G146" i="12"/>
  <c r="G145" i="12"/>
  <c r="G144" i="12"/>
  <c r="G143" i="12"/>
  <c r="G142" i="12"/>
  <c r="G141" i="12"/>
  <c r="G140" i="12"/>
  <c r="G139" i="12"/>
  <c r="G137" i="12"/>
  <c r="G136" i="12"/>
  <c r="G134" i="12"/>
  <c r="G133" i="12"/>
  <c r="G132" i="12"/>
  <c r="G131" i="12"/>
  <c r="G130" i="12"/>
  <c r="G129" i="12"/>
  <c r="G127" i="12"/>
  <c r="G125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6" i="12"/>
  <c r="G45" i="12"/>
  <c r="G44" i="12"/>
  <c r="G43" i="12"/>
  <c r="G42" i="12"/>
  <c r="G41" i="12"/>
  <c r="G40" i="12"/>
  <c r="G35" i="12"/>
  <c r="G22" i="12"/>
  <c r="G21" i="12"/>
  <c r="G19" i="12"/>
  <c r="G18" i="12"/>
  <c r="G17" i="12"/>
  <c r="G16" i="12"/>
  <c r="G15" i="12"/>
  <c r="G14" i="12"/>
  <c r="G13" i="12"/>
  <c r="G12" i="12"/>
  <c r="G11" i="12"/>
  <c r="G10" i="12"/>
  <c r="G8" i="12"/>
  <c r="G285" i="12" l="1"/>
  <c r="G289" i="12" s="1"/>
  <c r="J19" i="10" l="1"/>
  <c r="J18" i="10"/>
  <c r="J17" i="10"/>
  <c r="J20" i="10"/>
  <c r="I17" i="10"/>
  <c r="E36" i="10" l="1"/>
  <c r="D36" i="10"/>
  <c r="C36" i="10"/>
  <c r="E33" i="10"/>
  <c r="E35" i="10" s="1"/>
  <c r="D33" i="10"/>
  <c r="D35" i="10" s="1"/>
  <c r="C33" i="10"/>
  <c r="C35" i="10" s="1"/>
  <c r="B33" i="10"/>
  <c r="B35" i="10" s="1"/>
  <c r="D27" i="10"/>
  <c r="C27" i="10"/>
  <c r="D20" i="10"/>
  <c r="L18" i="10"/>
  <c r="C11" i="10"/>
  <c r="B11" i="10"/>
  <c r="D10" i="10"/>
  <c r="B20" i="10" s="1"/>
  <c r="I20" i="10" s="1"/>
  <c r="D9" i="10"/>
  <c r="E9" i="10" s="1"/>
  <c r="G9" i="10" s="1"/>
  <c r="G11" i="10" s="1"/>
  <c r="B27" i="10" s="1"/>
  <c r="D8" i="10"/>
  <c r="B18" i="10" s="1"/>
  <c r="I18" i="10" s="1"/>
  <c r="D7" i="10"/>
  <c r="D6" i="10"/>
  <c r="E6" i="10" s="1"/>
  <c r="F6" i="10" s="1"/>
  <c r="D5" i="10"/>
  <c r="B15" i="10" s="1"/>
  <c r="I15" i="10" s="1"/>
  <c r="L20" i="10" l="1"/>
  <c r="K20" i="10"/>
  <c r="K19" i="10"/>
  <c r="K21" i="10" s="1"/>
  <c r="L17" i="10"/>
  <c r="B19" i="10"/>
  <c r="I19" i="10" s="1"/>
  <c r="E5" i="10"/>
  <c r="F5" i="10" s="1"/>
  <c r="E8" i="10"/>
  <c r="E7" i="10"/>
  <c r="F7" i="10" s="1"/>
  <c r="E10" i="10"/>
  <c r="F10" i="10" s="1"/>
  <c r="D11" i="10"/>
  <c r="B16" i="10"/>
  <c r="E10" i="3"/>
  <c r="I16" i="10" l="1"/>
  <c r="I21" i="10" s="1"/>
  <c r="E27" i="10"/>
  <c r="L19" i="10"/>
  <c r="F11" i="10"/>
  <c r="B26" i="10" s="1"/>
  <c r="B21" i="10"/>
  <c r="E11" i="10"/>
  <c r="J16" i="10" l="1"/>
  <c r="J15" i="10"/>
  <c r="J21" i="10" s="1"/>
  <c r="D7" i="5" l="1"/>
  <c r="D10" i="5"/>
  <c r="D11" i="5" l="1"/>
  <c r="D12" i="3" l="1"/>
  <c r="D11" i="3" l="1"/>
  <c r="D13" i="3" s="1"/>
  <c r="E14" i="3" s="1"/>
  <c r="E15" i="3" l="1"/>
  <c r="E17" i="3" s="1"/>
  <c r="C21" i="10" l="1"/>
  <c r="C26" i="10" s="1"/>
  <c r="D21" i="10" l="1"/>
  <c r="D26" i="10" s="1"/>
  <c r="E21" i="10" l="1"/>
  <c r="E26" i="10" s="1"/>
  <c r="L21" i="10"/>
</calcChain>
</file>

<file path=xl/comments1.xml><?xml version="1.0" encoding="utf-8"?>
<comments xmlns="http://schemas.openxmlformats.org/spreadsheetml/2006/main">
  <authors>
    <author>Кручинская О.Н.</author>
  </authors>
  <commentList>
    <comment ref="O6" authorId="0">
      <text>
        <r>
          <rPr>
            <b/>
            <sz val="9"/>
            <color indexed="81"/>
            <rFont val="Tahoma"/>
            <family val="2"/>
            <charset val="204"/>
          </rPr>
          <t>Кручинская О.Н.:</t>
        </r>
        <r>
          <rPr>
            <sz val="9"/>
            <color indexed="81"/>
            <rFont val="Tahoma"/>
            <family val="2"/>
            <charset val="204"/>
          </rPr>
          <t xml:space="preserve">
13%-ФБ; 13%-МО; 74%-СФ</t>
        </r>
      </text>
    </comment>
  </commentList>
</comments>
</file>

<file path=xl/comments2.xml><?xml version="1.0" encoding="utf-8"?>
<comments xmlns="http://schemas.openxmlformats.org/spreadsheetml/2006/main">
  <authors>
    <author>Кручинская О.Н.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Кручинская О.Н.:</t>
        </r>
        <r>
          <rPr>
            <sz val="9"/>
            <color indexed="81"/>
            <rFont val="Tahoma"/>
            <family val="2"/>
            <charset val="204"/>
          </rPr>
          <t xml:space="preserve">
без 10102080</t>
        </r>
      </text>
    </comment>
    <comment ref="A25" authorId="0">
      <text>
        <r>
          <rPr>
            <b/>
            <sz val="9"/>
            <color indexed="81"/>
            <rFont val="Tahoma"/>
            <family val="2"/>
            <charset val="204"/>
          </rPr>
          <t>Кручинская О.Н.:</t>
        </r>
        <r>
          <rPr>
            <sz val="9"/>
            <color indexed="81"/>
            <rFont val="Tahoma"/>
            <family val="2"/>
            <charset val="204"/>
          </rPr>
          <t xml:space="preserve">
ушли в другую ИФНС, обособленное не оформили. Разбираемся</t>
        </r>
      </text>
    </comment>
  </commentList>
</comments>
</file>

<file path=xl/sharedStrings.xml><?xml version="1.0" encoding="utf-8"?>
<sst xmlns="http://schemas.openxmlformats.org/spreadsheetml/2006/main" count="764" uniqueCount="692">
  <si>
    <t>ФАКТ</t>
  </si>
  <si>
    <t>ОЦЕНКА</t>
  </si>
  <si>
    <t>по БК</t>
  </si>
  <si>
    <t>Пояснения</t>
  </si>
  <si>
    <t>Оценка</t>
  </si>
  <si>
    <t>Прогноз</t>
  </si>
  <si>
    <t>ИТОГО НДФЛ по всем видам</t>
  </si>
  <si>
    <t>2023г</t>
  </si>
  <si>
    <t xml:space="preserve"> 57,09%; 42,09%; 49,62%; 36,62%</t>
  </si>
  <si>
    <t>Соотношение периодов по плательщикам</t>
  </si>
  <si>
    <t>КБК:</t>
  </si>
  <si>
    <t>18210102080</t>
  </si>
  <si>
    <t>ОКТМО:</t>
  </si>
  <si>
    <t>32525000</t>
  </si>
  <si>
    <t>Период:</t>
  </si>
  <si>
    <t>01.01 - 31.12</t>
  </si>
  <si>
    <t>Годы:</t>
  </si>
  <si>
    <t>2021 - 2023</t>
  </si>
  <si>
    <t>Налогоплательщик</t>
  </si>
  <si>
    <t>ИНН</t>
  </si>
  <si>
    <t>УПРАВЛЕНИЕ СУДЕБНОГО ДЕПАРТАМЕНТА В КЕМЕРОВСКОЙ ОБЛАСТИ - КУЗБАССЕ</t>
  </si>
  <si>
    <t>4207054289</t>
  </si>
  <si>
    <t>4240002697</t>
  </si>
  <si>
    <t>4240008709</t>
  </si>
  <si>
    <t>Итого</t>
  </si>
  <si>
    <t>Поступления от плательщиков по месяцам</t>
  </si>
  <si>
    <t xml:space="preserve">Год: </t>
  </si>
  <si>
    <t xml:space="preserve">Фильтр по дате: </t>
  </si>
  <si>
    <t>Документ</t>
  </si>
  <si>
    <t xml:space="preserve">КБК: </t>
  </si>
  <si>
    <t>18210102010</t>
  </si>
  <si>
    <t xml:space="preserve">ОКТМО: </t>
  </si>
  <si>
    <t>Плательщик</t>
  </si>
  <si>
    <t>Поступления</t>
  </si>
  <si>
    <t>Наименование</t>
  </si>
  <si>
    <t>1 квартал</t>
  </si>
  <si>
    <t>2 квартал</t>
  </si>
  <si>
    <t>3 квартал</t>
  </si>
  <si>
    <t>4 квартал</t>
  </si>
  <si>
    <t>АВТОНОМНАЯ НЕКОММЕРЧЕСКАЯ ОРГАНИЗАЦИЯ ДОПОЛНИТЕЛЬНОГО ПРОФЕССИОНАЛЬНОГО ОБРАЗОВАНИЯ "АВИАЦИОННЫЙ ТЕХНИЧЕСКИЙ СПОРТИВНЫЙ КЛУБ-ЦЕНТРАЛЬНЫЙ СИБИРСКИЙ ПАРАШЮТНЫЙ КЛУБ ОБЩЕРОССИЙСКОЙ ОБЩЕСТВЕННО-ГОСУДАРСТВЕННОЙ ОРГАНИЗАЦИИ "ДОБРОВОЛЬНОЕ ОБЩЕСТВО СОДЕЙСТВИЯ АРМИИ, АВИАЦИИ И ФЛОТУ РОССИИ" ИМ.МАРТЕМЬЯНОВА В.Д."</t>
  </si>
  <si>
    <t>4205217280</t>
  </si>
  <si>
    <t>АДМИНИСТРАЦИЯ ПРОМЫШЛЕННОВСКОГО МУНИЦИПАЛЬНОГО ОКРУГА</t>
  </si>
  <si>
    <t>4240004140</t>
  </si>
  <si>
    <t>7708639622</t>
  </si>
  <si>
    <t>3232005484</t>
  </si>
  <si>
    <t>7724490000</t>
  </si>
  <si>
    <t>7725114488</t>
  </si>
  <si>
    <t>7017004060</t>
  </si>
  <si>
    <t>7708709686</t>
  </si>
  <si>
    <t>7451316641</t>
  </si>
  <si>
    <t>4205241205</t>
  </si>
  <si>
    <t>4205055375</t>
  </si>
  <si>
    <t>5405205157</t>
  </si>
  <si>
    <t>2310031475</t>
  </si>
  <si>
    <t>4240000611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</si>
  <si>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КЕМЕРОВСКОЙ ОБЛАСТИ - КУЗБАССУ</t>
  </si>
  <si>
    <t>4205076551</t>
  </si>
  <si>
    <t>ГЛАВНОЕ УПРАВЛЕНИЕ ФЕДЕРАЛЬНОЙ СЛУЖБЫ СУДЕБНЫХ ПРИСТАВОВ ПО КЕМЕРОВСКОЙ ОБЛАСТИ - КУЗБАССУ</t>
  </si>
  <si>
    <t>4205077474</t>
  </si>
  <si>
    <t>4240006081</t>
  </si>
  <si>
    <t>4205270220</t>
  </si>
  <si>
    <t>4240007430</t>
  </si>
  <si>
    <t>4240007423</t>
  </si>
  <si>
    <t>4205378200</t>
  </si>
  <si>
    <t>4240004430</t>
  </si>
  <si>
    <t>4206019500</t>
  </si>
  <si>
    <t>4205115313</t>
  </si>
  <si>
    <t>4205387363</t>
  </si>
  <si>
    <t>4240005779</t>
  </si>
  <si>
    <t>4205088363</t>
  </si>
  <si>
    <t>ДЕПАРТАМЕНТ ЛЕСНОГО КОМПЛЕКСА КУЗБАССА</t>
  </si>
  <si>
    <t>4205121451</t>
  </si>
  <si>
    <t xml:space="preserve">ДЕПАРТАМЕНТ ПО ОХРАНЕ ОБЪЕКТОВ ЖИВОТНОГО МИРА КУЗБАССА </t>
  </si>
  <si>
    <t>4205143720</t>
  </si>
  <si>
    <t>КОМИТЕТ ПО УПРАВЛЕНИЮ МУНИЦИПАЛЬНЫМ ИМУЩЕСТВОМ АДМИНИСТРАЦИИ ПРОМЫШЛЕННОВСКОГО МУНИЦИПАЛЬНОГО ОКРУГА</t>
  </si>
  <si>
    <t>4240005497</t>
  </si>
  <si>
    <t>КОНТРОЛЬНО - СЧЕТНЫЙ ОРГАН ПРОМЫШЛЕННОВСКОГО МУНИЦИПАЛЬНОГО ОКРУГА</t>
  </si>
  <si>
    <t>4212043109</t>
  </si>
  <si>
    <t>4212024498</t>
  </si>
  <si>
    <t>4212036180</t>
  </si>
  <si>
    <t>4240005761</t>
  </si>
  <si>
    <t>4240000033</t>
  </si>
  <si>
    <t>4240005120</t>
  </si>
  <si>
    <t>4240002457</t>
  </si>
  <si>
    <t>4240005024</t>
  </si>
  <si>
    <t>ЛИНЕЙНЫЙ ОТДЕЛ МИНИСТЕРСТВА ВНУТРЕННИХ ДЕЛ РОССИЙСКОЙ ФЕДЕРАЦИИ НА СТАНЦИИ БЕЛОВО</t>
  </si>
  <si>
    <t>4202040331</t>
  </si>
  <si>
    <t>4212021105</t>
  </si>
  <si>
    <t>МЕСТНАЯ РЕЛИГИОЗНАЯ ОРГАНИЗАЦИЯ ПРАВОСЛАВНЫЙ ПРИХОД ХРАМА АЛЕКСАНДРА НЕВСКОГО П. СТ. ПАДУНСКАЯ ПРОМЫШЛЕННОВСКОГО РАЙОНА КЕМЕРОВСКОЙ ОБЛАСТИ МАРИИНСКОЙ ЕПАРХИИ РУССКОЙ ПРАВОСЛАВНОЙ ЦЕРКВИ (МОСКОВСКИЙ ПАТРИАРХАТ)</t>
  </si>
  <si>
    <t>4240005698</t>
  </si>
  <si>
    <t>МЕСТНАЯ РЕЛИГИОЗНАЯ ОРГАНИЗАЦИЯ ПРАВОСЛАВНЫЙ ПРИХОД ХРАМА ПОКРОВА БОЖИЕЙ МАТЕРИ ПГТ. ПРОМЫШЛЕННАЯ КЕМЕРОВСКОЙ ОБЛАСТИ МАРИИНСКОЙ ЕПАРХИИ РУССКОЙ ПРАВОСЛАВНОЙ ЦЕРКВИ (МОСКОВСКИЙ ПАТРИАРХАТ)</t>
  </si>
  <si>
    <t>4240004824</t>
  </si>
  <si>
    <t>4240009928</t>
  </si>
  <si>
    <t>4240010151</t>
  </si>
  <si>
    <t>4240006941</t>
  </si>
  <si>
    <t>4240006123</t>
  </si>
  <si>
    <t>4212037169</t>
  </si>
  <si>
    <t>4240010289</t>
  </si>
  <si>
    <t>4240006853</t>
  </si>
  <si>
    <t>4240007007</t>
  </si>
  <si>
    <t>4240006370</t>
  </si>
  <si>
    <t>4212031992</t>
  </si>
  <si>
    <t>4240007092</t>
  </si>
  <si>
    <t>4240006980</t>
  </si>
  <si>
    <t>4240006910</t>
  </si>
  <si>
    <t>4240010017</t>
  </si>
  <si>
    <t>4240006998</t>
  </si>
  <si>
    <t>4240006807</t>
  </si>
  <si>
    <t>4240010401</t>
  </si>
  <si>
    <t>4240005232</t>
  </si>
  <si>
    <t>4240006268</t>
  </si>
  <si>
    <t>4212032428</t>
  </si>
  <si>
    <t>4240005793</t>
  </si>
  <si>
    <t>4240006966</t>
  </si>
  <si>
    <t>4240005930</t>
  </si>
  <si>
    <t>4240006500</t>
  </si>
  <si>
    <t>4240006236</t>
  </si>
  <si>
    <t>4240006099</t>
  </si>
  <si>
    <t>4240005962</t>
  </si>
  <si>
    <t>4240005850</t>
  </si>
  <si>
    <t>4240003933</t>
  </si>
  <si>
    <t>4212032097</t>
  </si>
  <si>
    <t>4240003958</t>
  </si>
  <si>
    <t>4240009156</t>
  </si>
  <si>
    <t>4212031745</t>
  </si>
  <si>
    <t>4212038050</t>
  </si>
  <si>
    <t>4212033260</t>
  </si>
  <si>
    <t>4212034200</t>
  </si>
  <si>
    <t>4240005634</t>
  </si>
  <si>
    <t>4240005835</t>
  </si>
  <si>
    <t>4212044575</t>
  </si>
  <si>
    <t>4212032812</t>
  </si>
  <si>
    <t>4240005218</t>
  </si>
  <si>
    <t>4212031752</t>
  </si>
  <si>
    <t>4212038324</t>
  </si>
  <si>
    <t>4212035764</t>
  </si>
  <si>
    <t>4240004831</t>
  </si>
  <si>
    <t>4240006596</t>
  </si>
  <si>
    <t>4240007230</t>
  </si>
  <si>
    <t>4212035563</t>
  </si>
  <si>
    <t>5405993807</t>
  </si>
  <si>
    <t>4212044046</t>
  </si>
  <si>
    <t>5404068885</t>
  </si>
  <si>
    <t>4212043420</t>
  </si>
  <si>
    <t>5404177147</t>
  </si>
  <si>
    <t>4212042352</t>
  </si>
  <si>
    <t>4205377100</t>
  </si>
  <si>
    <t>7106060429</t>
  </si>
  <si>
    <t>4240010232</t>
  </si>
  <si>
    <t>7017426505</t>
  </si>
  <si>
    <t>4212038941</t>
  </si>
  <si>
    <t>4238018467</t>
  </si>
  <si>
    <t>4212037962</t>
  </si>
  <si>
    <t>4212042296</t>
  </si>
  <si>
    <t>4217182297</t>
  </si>
  <si>
    <t>4250010457</t>
  </si>
  <si>
    <t>7709359770</t>
  </si>
  <si>
    <t>4212036060</t>
  </si>
  <si>
    <t>4240008272</t>
  </si>
  <si>
    <t>4205364912</t>
  </si>
  <si>
    <t>4240008956</t>
  </si>
  <si>
    <t>2540167061</t>
  </si>
  <si>
    <t>4240010120</t>
  </si>
  <si>
    <t>4212038123</t>
  </si>
  <si>
    <t>5507273950</t>
  </si>
  <si>
    <t>4205007903</t>
  </si>
  <si>
    <t>4212039896</t>
  </si>
  <si>
    <t>4205165508</t>
  </si>
  <si>
    <t>4205094712</t>
  </si>
  <si>
    <t>4205172880</t>
  </si>
  <si>
    <t>4205136063</t>
  </si>
  <si>
    <t>2222832797</t>
  </si>
  <si>
    <t>4205109750</t>
  </si>
  <si>
    <t>4217108455</t>
  </si>
  <si>
    <t>4205241533</t>
  </si>
  <si>
    <t>4220037807</t>
  </si>
  <si>
    <t>4202037924</t>
  </si>
  <si>
    <t>4212040250</t>
  </si>
  <si>
    <t>4212038765</t>
  </si>
  <si>
    <t>5402003392</t>
  </si>
  <si>
    <t>5401994221</t>
  </si>
  <si>
    <t>4212038733</t>
  </si>
  <si>
    <t>2222058686</t>
  </si>
  <si>
    <t>5405417377</t>
  </si>
  <si>
    <t>4217193250</t>
  </si>
  <si>
    <t>4205086172</t>
  </si>
  <si>
    <t>4240008787</t>
  </si>
  <si>
    <t>4212037715</t>
  </si>
  <si>
    <t>4212031960</t>
  </si>
  <si>
    <t>4212032058</t>
  </si>
  <si>
    <t>4212042401</t>
  </si>
  <si>
    <t>4240007582</t>
  </si>
  <si>
    <t>4212038268</t>
  </si>
  <si>
    <t>4240009766</t>
  </si>
  <si>
    <t>4240007737</t>
  </si>
  <si>
    <t>4223059020</t>
  </si>
  <si>
    <t>4212039800</t>
  </si>
  <si>
    <t>5402063105</t>
  </si>
  <si>
    <t>7017406315</t>
  </si>
  <si>
    <t>2225074005</t>
  </si>
  <si>
    <t>4253031423</t>
  </si>
  <si>
    <t>7701794058</t>
  </si>
  <si>
    <t>4205286238</t>
  </si>
  <si>
    <t>4240010070</t>
  </si>
  <si>
    <t>4212032795</t>
  </si>
  <si>
    <t>4212038959</t>
  </si>
  <si>
    <t>4205258632</t>
  </si>
  <si>
    <t>4240007871</t>
  </si>
  <si>
    <t>4212033911</t>
  </si>
  <si>
    <t>4205208582</t>
  </si>
  <si>
    <t>4240008314</t>
  </si>
  <si>
    <t>4205206514</t>
  </si>
  <si>
    <t>4240008547</t>
  </si>
  <si>
    <t>4212041905</t>
  </si>
  <si>
    <t>4240010384</t>
  </si>
  <si>
    <t>7017370605</t>
  </si>
  <si>
    <t>4205386507</t>
  </si>
  <si>
    <t>4212038028</t>
  </si>
  <si>
    <t>4230013690</t>
  </si>
  <si>
    <t>4240008480</t>
  </si>
  <si>
    <t>4205358563</t>
  </si>
  <si>
    <t>4205018817</t>
  </si>
  <si>
    <t>5405191698</t>
  </si>
  <si>
    <t>7017380459</t>
  </si>
  <si>
    <t>4205284801</t>
  </si>
  <si>
    <t>4240007511</t>
  </si>
  <si>
    <t>4212030011</t>
  </si>
  <si>
    <t>7604235270</t>
  </si>
  <si>
    <t>4240007159</t>
  </si>
  <si>
    <t>6674121179</t>
  </si>
  <si>
    <t>4212041870</t>
  </si>
  <si>
    <t>4212040563</t>
  </si>
  <si>
    <t>7825706086</t>
  </si>
  <si>
    <t>5047085094</t>
  </si>
  <si>
    <t>4240007920</t>
  </si>
  <si>
    <t>4205348413</t>
  </si>
  <si>
    <t>4240007695</t>
  </si>
  <si>
    <t>4205211218</t>
  </si>
  <si>
    <t>4240006483</t>
  </si>
  <si>
    <t>4212041687</t>
  </si>
  <si>
    <t>4212037338</t>
  </si>
  <si>
    <t>7017187800</t>
  </si>
  <si>
    <t>4205389226</t>
  </si>
  <si>
    <t>7017285854</t>
  </si>
  <si>
    <t>4212042257</t>
  </si>
  <si>
    <t>4240007166</t>
  </si>
  <si>
    <t>5402049460</t>
  </si>
  <si>
    <t>7017478599</t>
  </si>
  <si>
    <t>2902076410</t>
  </si>
  <si>
    <t>4205387412</t>
  </si>
  <si>
    <t>4205219217</t>
  </si>
  <si>
    <t>4217147214</t>
  </si>
  <si>
    <t>4205130368</t>
  </si>
  <si>
    <t>4212044624</t>
  </si>
  <si>
    <t>4217147221</t>
  </si>
  <si>
    <t>4212039550</t>
  </si>
  <si>
    <t>4240009967</t>
  </si>
  <si>
    <t>4240005514</t>
  </si>
  <si>
    <t>7714731464</t>
  </si>
  <si>
    <t>4205353854</t>
  </si>
  <si>
    <t>4212036528</t>
  </si>
  <si>
    <t>4205281695</t>
  </si>
  <si>
    <t>4240006645</t>
  </si>
  <si>
    <t>9718022399</t>
  </si>
  <si>
    <t>4212042240</t>
  </si>
  <si>
    <t>4205087828</t>
  </si>
  <si>
    <t>4202045001</t>
  </si>
  <si>
    <t>4205352145</t>
  </si>
  <si>
    <t>5506080120</t>
  </si>
  <si>
    <t>2902083979</t>
  </si>
  <si>
    <t>4250003450</t>
  </si>
  <si>
    <t>4205147668</t>
  </si>
  <si>
    <t>4212037955</t>
  </si>
  <si>
    <t>ОТДЕЛ МИНИСТЕРСТВА ВНУТРЕННИХ ДЕЛ РОССИЙСКОЙ ФЕДЕРАЦИИ ПО ПРОМЫШЛЕННОВСКОМУ МУНИЦИПАЛЬНОМУ ОКРУГУ</t>
  </si>
  <si>
    <t>4240002802</t>
  </si>
  <si>
    <t>ОТДЕЛЕНИЕ ФОНДА ПЕНСИОННОГО И СОЦИАЛЬНОГО СТРАХОВАНИЯ РОССИЙСКОЙ ФЕДЕРАЦИИ ПО КЕМЕРОВСКОЙ ОБЛАСТИ - КУЗБАССУ</t>
  </si>
  <si>
    <t>4207010740</t>
  </si>
  <si>
    <t>4205097745</t>
  </si>
  <si>
    <t>4240002390</t>
  </si>
  <si>
    <t>7708503727</t>
  </si>
  <si>
    <t>4205153492</t>
  </si>
  <si>
    <t>4240007688</t>
  </si>
  <si>
    <t>4240007303</t>
  </si>
  <si>
    <t>4240007293</t>
  </si>
  <si>
    <t>ПРОКУРАТУРА КЕМЕРОВСКОЙ ОБЛАСТИ-КУЗБАССА</t>
  </si>
  <si>
    <t>4207012433</t>
  </si>
  <si>
    <t>4205109214</t>
  </si>
  <si>
    <t>2460069527</t>
  </si>
  <si>
    <t>7707049388</t>
  </si>
  <si>
    <t>4401116480</t>
  </si>
  <si>
    <t>7707083893</t>
  </si>
  <si>
    <t>РЕГИОНАЛЬНАЯ ОБЩЕСТВЕННАЯ ОРГАНИЗАЦИЯ "ФЕДЕРАЦИЯ ПАРАШЮТНОГО СПОРТА КЕМЕРОВСКОЙ ОБЛАСТИ"</t>
  </si>
  <si>
    <t>4205193858</t>
  </si>
  <si>
    <t>4212040838</t>
  </si>
  <si>
    <t>4240008522</t>
  </si>
  <si>
    <t>4212039367</t>
  </si>
  <si>
    <t>4240010345</t>
  </si>
  <si>
    <t>4240009050</t>
  </si>
  <si>
    <t>4240008427</t>
  </si>
  <si>
    <t xml:space="preserve">СЛЕДСТВЕННОЕ УПРАВЛЕНИЕ СЛЕДСТВЕННОГО КОМИТЕТА РОССИЙСКОЙ ФЕДЕРАЦИИ ПО КЕМЕРОВСКОЙ ОБЛАСТИ-КУЗБАССУ </t>
  </si>
  <si>
    <t>4205214191</t>
  </si>
  <si>
    <t>СОВЕТ НАРОДНЫХ ДЕПУТАТОВ ПРОМЫШЛЕННОВСКОГО МУНИЦИПАЛЬНОГО ОКРУГА</t>
  </si>
  <si>
    <t>4212038211</t>
  </si>
  <si>
    <t>ТЕРРИТОРИАЛЬНАЯ ОРГАНИЗАЦИЯ ПРОМЫШЛЕННОВСКОГО МУНИЦИПАЛЬНОГО ОКРУГА ПРОФЕССИОНАЛЬНОГО СОЮЗА РАБОТНИКОВ НАРОДНОГО ОБРАЗОВАНИЯ И НАУКИ РОССИЙСКОЙ ФЕДЕРАЦИИ</t>
  </si>
  <si>
    <t>4240002376</t>
  </si>
  <si>
    <t xml:space="preserve">УПРАВЛЕНИЕ ГОСУДАРСТВЕННОЙ ИНСПЕКЦИИ ПО НАДЗОРУ ЗА ТЕХНИЧЕСКИМ СОСТОЯНИЕМ САМОХОДНЫХ МАШИН И ДРУГИХ ВИДОВ ТЕХНИКИ КУЗБАССА </t>
  </si>
  <si>
    <t>4205044165</t>
  </si>
  <si>
    <t>УПРАВЛЕНИЕ ЗАПИСИ АКТОВ ГРАЖДАНСКОГО СОСТОЯНИЯ КУЗБАССА</t>
  </si>
  <si>
    <t>4205038806</t>
  </si>
  <si>
    <t>УПРАВЛЕНИЕ КУЛЬТУРЫ, МОЛОДЕЖНОЙ ПОЛИТИКИ, СПОРТА И ТУРИЗМА АДМИНИСТРАЦИИ ПРОМЫШЛЕННОВСКОГО МУНИЦИПАЛЬНОГО ОКРУГА</t>
  </si>
  <si>
    <t>4240007550</t>
  </si>
  <si>
    <t>УПРАВЛЕНИЕ ОБРАЗОВАНИЯ АДМИНИСТРАЦИИ ПРОМЫШЛЕННОВСКОГО МУНИЦИПАЛЬНОГО ОКРУГА</t>
  </si>
  <si>
    <t>4240007487</t>
  </si>
  <si>
    <t>УПРАВЛЕНИЕ ПО ЖИЗНЕОБЕСПЕЧЕНИЮ И СТРОИТЕЛЬСТВУ АДМИНИСТРАЦИИ ПРОМЫШЛЕННОВСКОГО МУНИЦИПАЛЬНОГО ОКРУГА</t>
  </si>
  <si>
    <t>4212036366</t>
  </si>
  <si>
    <t xml:space="preserve">УПРАВЛЕНИЕ ПО ОБЕСПЕЧЕНИЮ ДЕЯТЕЛЬНОСТИ МИРОВЫХ СУДЕЙ В КУЗБАССЕ </t>
  </si>
  <si>
    <t>4205037961</t>
  </si>
  <si>
    <t>УПРАВЛЕНИЕ СОЦИАЛЬНОЙ ЗАЩИТЫ НАСЕЛЕНИЯ АДМИНИСТРАЦИИ ПРОМЫШЛЕННОВСКОГО МУНИЦИПАЛЬНОГО ОКРУГА</t>
  </si>
  <si>
    <t>4240007416</t>
  </si>
  <si>
    <t>УПРАВЛЕНИЕ ФЕДЕРАЛЬНОГО КАЗНАЧЕЙСТВА ПО КЕМЕРОВСКОЙ ОБЛАСТИ - КУЗБАССУ</t>
  </si>
  <si>
    <t>4207011574</t>
  </si>
  <si>
    <t>УПРАВЛЕНИЕ ФЕДЕРАЛЬНОЙ СЛУЖБЫ ВОЙСК НАЦИОНАЛЬНОЙ ГВАРДИИ РОССИЙСКОЙ ФЕДЕРАЦИИ ПО КЕМЕРОВСКОЙ ОБЛАСТИ - КУЗБАССУ</t>
  </si>
  <si>
    <t>4205335238</t>
  </si>
  <si>
    <t xml:space="preserve">УПРАВЛЕНИЕ ФЕДЕРАЛЬНОЙ СЛУЖБЫ ГОСУДАРСТВЕННОЙ РЕГИСТРАЦИИ, КАДАСТРА И КАРТОГРАФИИ ПО КЕМЕРОВСКОЙ ОБЛАСТИ - КУЗБАССУ </t>
  </si>
  <si>
    <t>4205077178</t>
  </si>
  <si>
    <t>УПРАВЛЕНИЕ ФЕДЕРАЛЬНОЙ СЛУЖБЫ ПО НАДЗОРУ В СФЕРЕ ЗАЩИТЫ ПРАВ ПОТРЕБИТЕЛЕЙ И БЛАГОПОЛУЧИЯ ЧЕЛОВЕКА ПО КЕМЕРОВСКОЙ ОБЛАСТИ-КУЗБАССУ</t>
  </si>
  <si>
    <t>4205081760</t>
  </si>
  <si>
    <t>УЧРЕЖДЕНИЕ ДОПОЛНИТЕЛЬНОГО ОБРАЗОВАНИЯ ДОМ ДЕТСКОГО ТВОРЧЕСТВА</t>
  </si>
  <si>
    <t>4240007053</t>
  </si>
  <si>
    <t>4205081103</t>
  </si>
  <si>
    <t>5406738623</t>
  </si>
  <si>
    <t>7708652888</t>
  </si>
  <si>
    <t>7701330105</t>
  </si>
  <si>
    <t>4209015849</t>
  </si>
  <si>
    <t>4205230316</t>
  </si>
  <si>
    <t>4240003034</t>
  </si>
  <si>
    <t>4240005049</t>
  </si>
  <si>
    <t>ФИНАНСОВОЕ УПРАВЛЕНИЕ АДМИНИСТРАЦИИ ПРОМЫШЛЕННОВСКОГО МУНИЦИПАЛЬНОГО ОКРУГА</t>
  </si>
  <si>
    <t>4212042112</t>
  </si>
  <si>
    <t>ЧАСТНОЕ УЧРЕЖДЕНИЕ ДОПОЛНИТЕЛЬНОГО ПРОФЕССИОНАЛЬНОГО ОБРАЗОВАНИЯ ЦЕНТР ПОДГОТОВКИ РАБОЧИХ КАДРОВ</t>
  </si>
  <si>
    <t>4240010105</t>
  </si>
  <si>
    <t>ЧАСТНОЕ УЧРЕЖДЕНИЕ ЗДРАВООХРАНЕНИЯ БОЛЬНИЦА РЖД-МЕДИЦИНА ГОРОДА КЕМЕРОВО</t>
  </si>
  <si>
    <t>4205069755</t>
  </si>
  <si>
    <t>АО "ПОЧТА РОССИИ"</t>
  </si>
  <si>
    <t>АО "РОССИЙСКИЙ СЕЛЬСКОХОЗЯЙСТВЕННЫЙ БАНК"</t>
  </si>
  <si>
    <t>АО "ТОМСКНЕФТЕПРОДУКТ" ВОСТОЧНОЙ НЕФТЯНОЙ КОМПАНИИ</t>
  </si>
  <si>
    <t>АО АВТОДОР</t>
  </si>
  <si>
    <t>АО ПРОВИНЦИЯ РЕСУРС</t>
  </si>
  <si>
    <t>АО СИБГИДРОМЕХСТРОЙ</t>
  </si>
  <si>
    <t>АО ТАНДЕР</t>
  </si>
  <si>
    <t>АО УДАРНИК ПОЛЕЙ</t>
  </si>
  <si>
    <t>КХ СОЛОНОВКА</t>
  </si>
  <si>
    <t>МБДОУ  КАЛИНКИНСКИЙ ДЕТСКИЙ САД</t>
  </si>
  <si>
    <t>МБДОУ "КАМЕНСКИЙ ДЕТСКИЙ САД"</t>
  </si>
  <si>
    <t>МБДОУ ВАГАНОВСКИЙ ДЕТСКИЙ САД</t>
  </si>
  <si>
    <t>МБДОУ ГОЛУБЕВСКИЙ ДЕТСКИЙ САД УЛЫБКА</t>
  </si>
  <si>
    <t>МБДОУ ОЗЁРСКИЙ ДЕТСКИЙ САД</t>
  </si>
  <si>
    <t>МБДОУ ОКУНЕВСКИЙ ДЕТСКИЙ САД УМКА</t>
  </si>
  <si>
    <t>МБДОУ ПЛОТНИКОВСКИЙ ДЕТСКИЙ САД ТЕРЕМОК</t>
  </si>
  <si>
    <t>МБДОУ ТРУДОВСКОЙ ДЕТСКИЙ САД</t>
  </si>
  <si>
    <t>МБОУ ВАГАНОВСКАЯ СРЕДНЯЯ ОБЩЕОБРАЗОВАТЕЛЬНАЯ ШКОЛА</t>
  </si>
  <si>
    <t>МБОУ ЗАРИНСКАЯ СРЕДНЯЯ ОБЩЕОБРАЗОВАТЕЛЬНАЯ ШКОЛА ИМЕНИ М.А. АВЕРИНА</t>
  </si>
  <si>
    <t>МБОУ КРАСНИНСКАЯ ОСНОВНАЯ ОБЩЕОБРАЗОВАТЕЛЬНАЯ ШКОЛА</t>
  </si>
  <si>
    <t>МБОУ ЛЕБЕДЕВСКАЯ ОСНОВНАЯ ОБЩЕОБРАЗОВАТЕЛЬНАЯ ШКОЛА</t>
  </si>
  <si>
    <t>МБОУ ОКУНЕВСКАЯ СРЕДНЯЯ ОБЩЕОБРАЗОВАТЕЛЬНАЯ ШКОЛА</t>
  </si>
  <si>
    <t>МБОУ ПАДУНСКАЯ СРЕДНЯЯ ОБЩЕОБРАЗОВАТЕЛЬНАЯ ШКОЛА ИМЕНИ ДМИТРИЯ ИВАНОВИЧА МОСТОВЩИКОВА</t>
  </si>
  <si>
    <t>МБОУ ПЛОТНИКОВСКАЯ ОСНОВНАЯ ОБЩЕОБРАЗОВАТЕЛЬНАЯ ШКОЛА</t>
  </si>
  <si>
    <t>МБОУ ПРОМЫШЛЕННОВСКАЯ СРЕДНЯЯ ОБЩЕОБРАЗОВАТЕЛЬНАЯ ШКОЛА №2</t>
  </si>
  <si>
    <t>МБОУ ПРОМЫШЛЕННОВСКАЯ СРЕДНЯЯ ОБЩЕОБРАЗОВАТЕЛЬНАЯ ШКОЛА №56</t>
  </si>
  <si>
    <t>МБОУ ПРОТОПОПОВСКАЯ ОСНОВНАЯ ОБЩЕОБРАЗОВАТЕЛЬНАЯ ШКОЛА</t>
  </si>
  <si>
    <t>МБОУ ПЬЯНОВСКАЯ ОСНОВНАЯ ОБЩЕОБРАЗОВАТЕЛЬНАЯ ШКОЛА</t>
  </si>
  <si>
    <t>МБОУ ТАРАСОВСКАЯ СРЕДНЯЯ ОБЩЕОБРАЗОВАТЕЛЬНАЯ ШКОЛА</t>
  </si>
  <si>
    <t>МБОУ ТИТОВСКАЯ ОСНОВНАЯ ОБЩЕОБРАЗОВАТЕЛЬНАЯ ШКОЛА</t>
  </si>
  <si>
    <t>МКП "РЕДАКЦИЯ ГАЗЕТЫ "ЭХО"</t>
  </si>
  <si>
    <t>МОБУ ЖУРАВЛЕВСКАЯ ОСНОВНАЯ ОБЩЕОБРАЗОВАТЕЛЬНАЯ ШКОЛА</t>
  </si>
  <si>
    <t>ООО  "ОТЕЛЬ  АЭРОДРОМ ТАНАЙ"</t>
  </si>
  <si>
    <t>ООО "#МНОГОПИВА"</t>
  </si>
  <si>
    <t>ООО "АВТОПАН"</t>
  </si>
  <si>
    <t>ООО "АВТОТРЕЙД"</t>
  </si>
  <si>
    <t>ООО "АЛЬФАСТРАХОВАНИЕ - ОМС"</t>
  </si>
  <si>
    <t>ООО "АЭРОДРОМ ТАНАЙ"</t>
  </si>
  <si>
    <t>ООО "БАХУС"</t>
  </si>
  <si>
    <t>ООО "БИОИНДУСТРИЯ"</t>
  </si>
  <si>
    <t>ООО "ВОСХОД"</t>
  </si>
  <si>
    <t>ООО "ГАЗПРОМНЕФТЬ - ЦЕНТР"</t>
  </si>
  <si>
    <t>ООО "ГИГАНТ"</t>
  </si>
  <si>
    <t>ООО "ГУБЕРНИЯ"</t>
  </si>
  <si>
    <t>ООО "ДОРСЕРВИС"</t>
  </si>
  <si>
    <t>ООО "ЕРЕМИНСКИЙ ЗАВОД НАТУРАЛЬНЫХ КОРМОВ"</t>
  </si>
  <si>
    <t>ООО "КЕМЕРОВО-ТОРГ"</t>
  </si>
  <si>
    <t>ООО "КРАЙ"</t>
  </si>
  <si>
    <t>ООО "КРАФТ БИР МАСТЕР ДИСТРИБЬЮШН"</t>
  </si>
  <si>
    <t>ООО "КУЗБАССТОПЛИВОСБЫТ"</t>
  </si>
  <si>
    <t>ООО "МЕД-ГАРАНТ"</t>
  </si>
  <si>
    <t>ООО "НАЙТ"</t>
  </si>
  <si>
    <t>ООО "НАТУРАЛЬНЫЕ ПРОДУКТЫ"</t>
  </si>
  <si>
    <t>ООО "НОВЭКС"</t>
  </si>
  <si>
    <t>ООО "ОВИК"</t>
  </si>
  <si>
    <t>ООО "ПЕРЕКРЕСТОК ОЙЛ"</t>
  </si>
  <si>
    <t>ООО "ПЛОДОРОДИЕ"</t>
  </si>
  <si>
    <t>ООО "ПРОВИНЦИЯ"</t>
  </si>
  <si>
    <t>ООО "ПРОМА"</t>
  </si>
  <si>
    <t>ООО "РЕГИОНФАРМ"</t>
  </si>
  <si>
    <t>ООО "РЕЛОАД БРЕВЕРИ"</t>
  </si>
  <si>
    <t>ООО "РУПАК"</t>
  </si>
  <si>
    <t>ООО "САНАТОРИЙ ТАНАЙ"</t>
  </si>
  <si>
    <t>ООО "СЕМЕЙНАЯ СТОМАТОЛОГИЯ"</t>
  </si>
  <si>
    <t>ООО "ТАНДЕМ"</t>
  </si>
  <si>
    <t>ООО "ТЕМП"</t>
  </si>
  <si>
    <t>ООО "ТОРГОВАЯ СЕТЬ БРИГАНТИНА"</t>
  </si>
  <si>
    <t>ООО "ТОЯН"</t>
  </si>
  <si>
    <t>ООО "ТРАНСЛОГИСТИК"</t>
  </si>
  <si>
    <t>ООО "ФОРИС"</t>
  </si>
  <si>
    <t>ООО "ХЛЕБОРОБ"</t>
  </si>
  <si>
    <t>ООО "ЧИСТЫЙ ГОРОД КЕМЕРОВО"</t>
  </si>
  <si>
    <t>ООО "ЭКО - ТРАНС"</t>
  </si>
  <si>
    <t>ООО "ЭКОКАПИТАЛ"</t>
  </si>
  <si>
    <t>ООО "ЭТАЖИ"</t>
  </si>
  <si>
    <t>ООО АВТО МАСТЕР</t>
  </si>
  <si>
    <t>ООО АГРОТОРГ</t>
  </si>
  <si>
    <t>ООО БЭСТ ПРАЙС</t>
  </si>
  <si>
    <t>ООО ВЕСНА</t>
  </si>
  <si>
    <t>ООО ВТОРЭКОСЕРВИС</t>
  </si>
  <si>
    <t>ООО ГРАНД</t>
  </si>
  <si>
    <t>ООО ДЕРЕВЕНСКИЙ МОЛОЧНЫЙ ЗАВОД</t>
  </si>
  <si>
    <t>ООО ДОЛИНА</t>
  </si>
  <si>
    <t>ООО ДСПМК-АГРО</t>
  </si>
  <si>
    <t>ООО ЗАРЯ</t>
  </si>
  <si>
    <t>ООО КАМЕЛОТ-А</t>
  </si>
  <si>
    <t>ООО КЕМСТРОЙ</t>
  </si>
  <si>
    <t>ООО К-ПЛЮС 7</t>
  </si>
  <si>
    <t>ООО КРИСТАЛЛ</t>
  </si>
  <si>
    <t>ООО ЛЕБЕДИ</t>
  </si>
  <si>
    <t>ООО МИКРОКРЕДИТНАЯ КОМПАНИЯ "ЦЕНТРОФИНАНС ГРУПП"</t>
  </si>
  <si>
    <t>ООО МИКРОКРЕДИТНАЯ КОМПАНИЯ МАНИДЭЙ</t>
  </si>
  <si>
    <t>ООО МИКРОКРЕДИТНАЯ КОМПАНИЯ ФИНТЕРРА</t>
  </si>
  <si>
    <t>ООО МОЛОЧНО-ТОВАРНАЯ ФЕРМА РОДНАЯ ЗЕМЛЯ</t>
  </si>
  <si>
    <t>ООО МЯСНОЙ РЯД</t>
  </si>
  <si>
    <t>ООО НЕО-СТРОЙ</t>
  </si>
  <si>
    <t>ООО ОКУНЕВСКАЯ ФЕРМА</t>
  </si>
  <si>
    <t>ООО ПРОМ-ОЙЛ</t>
  </si>
  <si>
    <t>ООО ПРОМЫШЛЕННОВСКИЕ КОММУНАЛЬНЫЕ СИСТЕМЫ</t>
  </si>
  <si>
    <t>ООО ПРОМЫШЛЕННОВСКИЙ ПЕСЧАНЫЙ КАРЬЕР</t>
  </si>
  <si>
    <t>ООО РЕСУРСТРАНС</t>
  </si>
  <si>
    <t>ООО РОСТ 168</t>
  </si>
  <si>
    <t>ООО РЫБХОЗ АЛЕКСАНДРОВСКИЙ</t>
  </si>
  <si>
    <t>ООО СЕЛЬСКОХОЗЯЙСТВЕННАЯ КОМПАНИЯ "АЛМАЗ"</t>
  </si>
  <si>
    <t>ООО СОКРАТ</t>
  </si>
  <si>
    <t>ООО СЧ НЕДВИЖИМОСТЬ</t>
  </si>
  <si>
    <t>ООО ТАВОЛГА</t>
  </si>
  <si>
    <t>ООО ТОРГОВЫЙ ДОМ "ДЕРЕВЕНСКИЙ МОЛОЧНЫЙ ЗАВОД"</t>
  </si>
  <si>
    <t>ООО ТОРГСЕРВИС 342</t>
  </si>
  <si>
    <t>ООО ТОРГСИТИ</t>
  </si>
  <si>
    <t>ООО ФАРМАКОПЕЙКА-СИБИРЬ</t>
  </si>
  <si>
    <t>ООО ФИНТЕХ СОЛЮШЕНС</t>
  </si>
  <si>
    <t>ООО ХОЛДИНГОВАЯ КОМПАНИЯ "СДС - ЭНЕРГО"</t>
  </si>
  <si>
    <t>ООО ЧАСТНАЯ ОХРАННАЯ ОРГАНИЗАЦИЯ АСТРОН</t>
  </si>
  <si>
    <t>ООО ЭНЕРГОРЕСУРС</t>
  </si>
  <si>
    <t>ФХ ДОЛБНЯ М.Ф.</t>
  </si>
  <si>
    <t>в бюджет округа (с ДН)</t>
  </si>
  <si>
    <t>АО ВАГАНОВО</t>
  </si>
  <si>
    <t>18210102130</t>
  </si>
  <si>
    <t>ООО СХК АЛМАЗ</t>
  </si>
  <si>
    <t>ООО АВТОПАН</t>
  </si>
  <si>
    <t>ООО "ПРОМЫШЛЕННОВСКИЕ КОММУНАЛЬНЫЕ СИСТЕМЫ"</t>
  </si>
  <si>
    <t>2023</t>
  </si>
  <si>
    <t>рост к 2021г</t>
  </si>
  <si>
    <t>доля округа</t>
  </si>
  <si>
    <t>ср.год. по АО Ваганово</t>
  </si>
  <si>
    <t>2021 факт</t>
  </si>
  <si>
    <t>2022 факт</t>
  </si>
  <si>
    <t>КХ "Бекон"</t>
  </si>
  <si>
    <t>КХ "СОЛОНОВКА"</t>
  </si>
  <si>
    <t>ООО "ДСПМК-АГРО"</t>
  </si>
  <si>
    <t>ООО "Заря"</t>
  </si>
  <si>
    <t>ООО "Лебеди"</t>
  </si>
  <si>
    <t>ООО "Оникс"</t>
  </si>
  <si>
    <t>4212041550</t>
  </si>
  <si>
    <t>ООО "Сельская Нива"</t>
  </si>
  <si>
    <t>4212034626</t>
  </si>
  <si>
    <t>4212039092</t>
  </si>
  <si>
    <t>ООО "Тарасовское"</t>
  </si>
  <si>
    <t>ООО АГРОКОРМ</t>
  </si>
  <si>
    <t>ООО МИКРОКРЕДИТНАЯ КОМПАНИЯ УНО</t>
  </si>
  <si>
    <t>ООО МИКРОКРЕДИТНАЯ КОМПАНИЯ ФЛОРИШ</t>
  </si>
  <si>
    <t>ООО ОН-СМАРТ</t>
  </si>
  <si>
    <t>ООО РАЗРЕЗ ИСТОКСКИЙ</t>
  </si>
  <si>
    <t>ООО РОМАШКА</t>
  </si>
  <si>
    <t>ООО СХК "Алмаз"</t>
  </si>
  <si>
    <t>182105030</t>
  </si>
  <si>
    <t>ООО "БИО-КОРМ"</t>
  </si>
  <si>
    <t>4205193921</t>
  </si>
  <si>
    <t>СХПЗСК "УТРО"</t>
  </si>
  <si>
    <t>ООО "Окуневское молоко"</t>
  </si>
  <si>
    <t>ООО "Окуневская ферма"</t>
  </si>
  <si>
    <t>КХ "ХРЯПИН"</t>
  </si>
  <si>
    <t>4240002834</t>
  </si>
  <si>
    <t>ФХ Долбня М.Ф.</t>
  </si>
  <si>
    <t>КХ Подкина В.М</t>
  </si>
  <si>
    <t>4240003242</t>
  </si>
  <si>
    <t>СХПК "СОГЛАСИЕ"</t>
  </si>
  <si>
    <t>ООО "СОВХОЗ "МАЯК"</t>
  </si>
  <si>
    <t>4240010088</t>
  </si>
  <si>
    <t>ФХ КУГЕЛЬ В. Г.</t>
  </si>
  <si>
    <t>КХ Копылова С. И.</t>
  </si>
  <si>
    <t>КХ Михалевич Г. А.</t>
  </si>
  <si>
    <t>ЕСХН</t>
  </si>
  <si>
    <t>НДФЛ</t>
  </si>
  <si>
    <t>ФОТ , тыс. руб. (из прогноза СЭР)</t>
  </si>
  <si>
    <t>ндфл</t>
  </si>
  <si>
    <t>ндфл в бюджет</t>
  </si>
  <si>
    <t>Расчет от ФОТ</t>
  </si>
  <si>
    <t xml:space="preserve">вычеты (по 5-ддк за 2022г) </t>
  </si>
  <si>
    <t xml:space="preserve">Исходя из поступлений ЕСХН (2021-2023гг) в ФХ ДОЛБНЯ М.Ф. и КХ СОЛОНОВКА прибыли по итогам 2022г нет (перечисления в 2023г за 2022 нулевые). В ООО СХК АЛМАЗ (с учетом изменившейся ставки ЕСХН) прибыль ниже в 40 раз (за 2022г по сравнению с 2021г). По условиям: в 2022г был богатый урожай на зерновые, но цена на зерно была ниже чем в 2021г (отсюда снижение прибыли), в текущем году ситуация хуже: засуха и ЧС (гибель посевов). В прогноз возьму только ООО АВТОПАН (не с/х предприятие) и ООО ПКС. </t>
  </si>
  <si>
    <t>Оценка поступлений НДФЛ в бюджет Промышленновского муниципального округа на 2023 - 2026гг</t>
  </si>
  <si>
    <t>ср.мес 04.23-09.23</t>
  </si>
  <si>
    <t>за год с учетом увелич.</t>
  </si>
  <si>
    <t>АО ЖЕЛЕЗНОДОРОЖНАЯ ТОРГОВАЯ КОМПАНИЯ</t>
  </si>
  <si>
    <t>АО ПОЧТА БАНК</t>
  </si>
  <si>
    <t>АО ФЕДЕРАЛЬНАЯ ПАССАЖИРСКАЯ КОМПАНИЯ</t>
  </si>
  <si>
    <t>АО ЦЕНТР КОРПОРАТИВНОГО УЧЕТА И ОТЧЕТНОСТИ ЖЕЛДОРУЧЕТ</t>
  </si>
  <si>
    <t>ГОСУДАРСТВЕННОЕ  БЮДЖЕТНОЕ НЕТИПОВОЕ ОБЩЕОБРАЗОВАТЕЛЬНОЕ УЧРЕЖДЕНИЕ  "ГУБЕРНАТОРСКАЯ КАДЕТСКАЯ ШКОЛА-ИНТЕРНАТ МЧС"</t>
  </si>
  <si>
    <t>ГОСУДАРСТВЕННОЕ АВТОНОМНОЕ УЧРЕЖДЕНИЕ "УПОЛНОМОЧЕННЫЙ МНОГОФУНКЦИОНАЛЬНЫЙ ЦЕНТР ПРЕДОСТАВЛЕНИЯ ГОСУДАРСТВЕННЫХ И МУНИЦИПАЛЬНЫХ УСЛУГ НА ТЕРРИТОРИИ КУЗБАССА"</t>
  </si>
  <si>
    <t>ГОСУДАРСТВЕННОЕ БЮДЖЕТНОЕ УЧРЕЖДЕНИЕ ЗДРАВООХРАНЕНИЯ "ПРОМЫШЛЕННОВСКАЯ РАЙОННАЯ БОЛЬНИЦА"</t>
  </si>
  <si>
    <t>ГОСУДАРСТВЕННОЕ БЮДЖЕТНОЕ УЧРЕЖДЕНИЕ ЗДРАВООХРАНЕНИЯ ОСОБОГО ТИПА "КУЗБАССКОЕ КЛИНИЧЕСКОЕ БЮРО СУДЕБНО-МЕДИЦИНСКОЙ ЭКСПЕРТИЗЫ"</t>
  </si>
  <si>
    <t>ГОСУДАРСТВЕННОЕ БЮДЖЕТНОЕ УЧРЕЖДЕНИЕ ПРОМЫШЛЕННОВСКАЯ МЕЖРАЙОННАЯ ВЕТЕРИНАРНАЯ ЛАБОРАТОРИЯ</t>
  </si>
  <si>
    <t>ГОСУДАРСТВЕННОЕ БЮДЖЕТНОЕ УЧРЕЖДЕНИЕ ПРОМЫШЛЕННОВСКАЯ СТАНЦИЯ ПО БОРЬБЕ С БОЛЕЗНЯМИ ЖИВОТНЫХ</t>
  </si>
  <si>
    <t>ГОСУДАРСТВЕННОЕ БЮДЖЕТНОЕ УЧРЕЖДЕНИЕ ЦЕНТР ГОСУДАРСТВЕННОЙ КАДАСТРОВОЙ ОЦЕНКИ И ТЕХНИЧЕСКОЙ ИНВЕНТАРИЗАЦИИ КУЗБАССА</t>
  </si>
  <si>
    <t>ГОСУДАРСТВЕННОЕ КАЗЕННОЕ УЧРЕЖДЕНИЕ "ЦЕНТР ХОЗЯЙСТВЕННОГО И МАТЕРИАЛЬНО - ТЕХНИЧЕСКОГО ОБЕСПЕЧЕНИЯ МИРОВЫХ СУДЕЙ В КУЗБАССЕ"</t>
  </si>
  <si>
    <t>ГОСУДАРСТВЕННОЕ КАЗЕННОЕ УЧРЕЖДЕНИЕ АГЕНТСТВО ПО ЗАЩИТЕ НАСЕЛЕНИЯ И ТЕРРИТОРИИ КУЗБАССА</t>
  </si>
  <si>
    <t>ГОСУДАРСТВЕННОЕ КАЗЕННОЕ УЧРЕЖДЕНИЕ ЦЕНТР ЗАНЯТОСТИ НАСЕЛЕНИЯ ПРОМЫШЛЕННОВСКОГО РАЙОНА</t>
  </si>
  <si>
    <t>ГОСУДАРСТВЕННОЕ ПРЕДПРИЯТИЕ КУЗБАССА "ПАССАЖИРАВТОТРАНС"</t>
  </si>
  <si>
    <t>КРЕДИТНЫЙ ПОТРЕБИТЕЛЬСКИЙ КООПЕРАТИВ   СИСТЕМА ПЕНСИОННЫХ КАСС   ЗАБОТА</t>
  </si>
  <si>
    <t>КРЕДИТНЫЙ ПОТРЕБИТЕЛЬСКИЙ КООПЕРАТИВ ГРАЖДАН  ГАРАНТ</t>
  </si>
  <si>
    <t>КРЕДИТНЫЙ ПОТРЕБИТЕЛЬСКИЙ КООПЕРАТИВ ГРАЖДАН ДРУЖБА</t>
  </si>
  <si>
    <t>КРЕСТЬЯНСКОЕ ХОЗЯЙСТВО БЕКОН</t>
  </si>
  <si>
    <t>КРЕСТЬЯНСКОЕ ХОЗЯЙСТВО МИХАЛЕВИЧ ГЕННАДИЙ АНАТОЛЬЕВИЧ</t>
  </si>
  <si>
    <t>КРЕСТЬЯНСКОЕ ХОЗЯЙСТВО СОЛОНОВКА</t>
  </si>
  <si>
    <t>МЕЖРАЙОННАЯ ИНСПЕКЦИЯ ФЕДЕРАЛЬНОЙ НАЛОГОВОЙ СЛУЖБЫ № 2 ПО КЕМЕРОВСКОЙ ОБЛАСТИ - КУЗБАССУ</t>
  </si>
  <si>
    <t>МАДОУ ПРОМЫШЛЕННОВСКИЙ ДЕТСКИЙ САД СКАЗКА</t>
  </si>
  <si>
    <t>МАУ БАЗА ОТДЫХА БЕРЕЗКА</t>
  </si>
  <si>
    <t>МБДОУ ВАСЬКОВСКИЙ ДЕТСКИЙ САД</t>
  </si>
  <si>
    <t>МБДОУ ДЕТСКИЙ САД СВЕТЛЯЧОК</t>
  </si>
  <si>
    <t>МБДОУ ЕРЁМИНСКИЙ ДЕТСКИЙ САД</t>
  </si>
  <si>
    <t>МБДОУ ПРОМЫШЛЕННОВСКИЙ ДЕТСКИЙ САД №1 РЯБИНКА</t>
  </si>
  <si>
    <t>МБДОУ ПРОТОПОПОВСКИЙ ДЕТСКИЙ САД</t>
  </si>
  <si>
    <t>МБОУ ДО ДЕТСКО-ЮНОШЕСКАЯ СПОРТИВНАЯ ШКОЛА П. ПЛОТНИКОВО</t>
  </si>
  <si>
    <t>МБОУ КАЛИНКИНСКАЯ ОСНОВНАЯ ОБЩЕОБРАЗОВАТЕЛЬНАЯ ШКОЛА</t>
  </si>
  <si>
    <t>МБУ "ПРОМЫШЛЕННОВСКАЯ ЦЕНТРАЛИЗОВАННАЯ БИБЛИОТЕЧНАЯ СИСТЕМА"</t>
  </si>
  <si>
    <t>МБУ "ПРОМЫШЛЕННОВСКИЙ РАЙОННЫЙ ИСТОРИКО-КРАЕВЕДЧЕСКИЙ МУЗЕЙ"</t>
  </si>
  <si>
    <t>МБУ "РАЙОННЫЙ КУЛЬТУРНО-ДОСУГОВЫЙ КОМПЛЕКС"</t>
  </si>
  <si>
    <t>МБУ "ЦЕНТРАЛИЗОВАННАЯ БУХГАЛТЕРИЯ"</t>
  </si>
  <si>
    <t>МБУ ДЛЯ ДЕТЕЙ, НУЖДАЮЩИХСЯ В ПСИХОЛОГО-ПЕДАГОГИЧЕСКОЙ И МЕДИКО-СОЦИАЛЬНОЙ ПОМОЩИ ЦЕНТР ПСИХОЛОГО-МЕДИКО-СОЦИАЛЬНОГО СОПРОВОЖДЕНИЯ</t>
  </si>
  <si>
    <t>МБУ ДО "ДЕТСКАЯ ШКОЛА ИСКУССТВ ИМ. В.И. КОСОЛАПОВА"</t>
  </si>
  <si>
    <t>МБУ ДО "ПРОМЫШЛЕННОВСКАЯ СПОРТИВНАЯ ШКОЛА"</t>
  </si>
  <si>
    <t>МБУ КОМПЛЕКСНЫЙ ЦЕНТР СОЦИАЛЬНОГО ОБСЛУЖИВАНИЯ НАСЕЛЕНИЯ</t>
  </si>
  <si>
    <t>МБУ ПРОМЫШЛЕННОВСКИЙ ЦЕНТР КУЛЬТУРНОГО РАЗВИТИЯ</t>
  </si>
  <si>
    <t>МБУ ЦЕНТР РАЗВИТИЯ ОБРАЗОВАНИЯ</t>
  </si>
  <si>
    <t>МУНИЦИПАЛЬНОЕ КАЗЕННОЕ ОБЩЕОБРАЗОВАТЕЛЬНОЕ УЧРЕЖДЕНИЕ ПАДУНСКАЯ ОБЩЕОБРАЗОВАТЕЛЬНАЯ ШКОЛА-ИНТЕРНАТ ПСИХОЛОГО-ПЕДАГОГИЧЕСКОЙ ПОДДЕРЖКИ</t>
  </si>
  <si>
    <t>МКУ "ЕДИНАЯ ДЕЖУРНО-ДИСПЕТЧЕРСКАЯ СЛУЖБА" ПРОМЫШЛЕННОВСКОГО МУНИЦИПАЛЬНОГО ОКРУГА</t>
  </si>
  <si>
    <t>МКУ "ЦЕНТР ОБСЛУЖИВАНИЯ УЧРЕЖДЕНИЙ КУЛЬТУРЫ"</t>
  </si>
  <si>
    <t>МКУ ДЛЯ ДЕТЕЙ-СИРОТ И ДЕТЕЙ, ОСТАВШИХСЯ БЕЗ ПОПЕЧЕНИЯ РОДИТЕЛЕЙ (ЗАКОННЫХ ПРЕДСТАВИТЕЛЕЙ), ОКУНЕВСКИЙ ДЕТСКИЙ ДОМ МЕЧТА</t>
  </si>
  <si>
    <t>НЕКОММЕРЧЕСКАЯ ОРГАНИЗАЦИЯ КОЛЛЕГИЯ АДВОКАТОВ №56 ПРОМЫШЛЕННОВСКОГО РАЙОНА КЕМЕРОВСКОЙ ОБЛАСТИ</t>
  </si>
  <si>
    <t>ООО АЗС РЕГИОН</t>
  </si>
  <si>
    <t>ООО АЛЬБИОН-2002</t>
  </si>
  <si>
    <t>5257056036</t>
  </si>
  <si>
    <t>ООО АЛЬТЕРНАТИВА</t>
  </si>
  <si>
    <t>ООО АЛЬФА-М</t>
  </si>
  <si>
    <t>7743931676</t>
  </si>
  <si>
    <t>ООО АЛЬФАПРОМ</t>
  </si>
  <si>
    <t>ООО БОРОВКОВО</t>
  </si>
  <si>
    <t>ООО ВОДОРЕСУРС</t>
  </si>
  <si>
    <t>ООО ВОСХОД</t>
  </si>
  <si>
    <t>ООО ВТОРМЕТ</t>
  </si>
  <si>
    <t>ООО ГАРАНТ</t>
  </si>
  <si>
    <t>ООО ГЕРМЕС</t>
  </si>
  <si>
    <t>ООО ГОРИЗОНТ</t>
  </si>
  <si>
    <t>ООО ДНС РИТЕЙЛ</t>
  </si>
  <si>
    <t>ООО ДОМСЕРВИС ПЛОТНИКОВО</t>
  </si>
  <si>
    <t>ООО ЕНИСЕЙ-СЕРВИС</t>
  </si>
  <si>
    <t>ООО ЖИЛОЙ ФОНД. 42</t>
  </si>
  <si>
    <t>ООО КИТАТ-РК</t>
  </si>
  <si>
    <t>ООО КОМПАНИЯ ЦЕНТР</t>
  </si>
  <si>
    <t>ООО КУЗБАССКАЯ ЭНЕРГОСЕТЕВАЯ КОМПАНИЯ</t>
  </si>
  <si>
    <t>ООО КУЗБАССКИЙ ДЕЛОВОЙ СОЮЗ</t>
  </si>
  <si>
    <t>ООО ЛОМБАРД-ВЕСТ</t>
  </si>
  <si>
    <t>ООО МАСТЕР ФУД</t>
  </si>
  <si>
    <t>ООО МИГ</t>
  </si>
  <si>
    <t>ООО НОВЫЕ ВОДНЫЕ ТЕХНОЛОГИИ</t>
  </si>
  <si>
    <t>ООО ПИВОВАРНЯЛОБАНОВА</t>
  </si>
  <si>
    <t>ООО ПРОВИНЦИЯ</t>
  </si>
  <si>
    <t>ООО ПРОГРЕСС</t>
  </si>
  <si>
    <t>ООО ПРОМЕДФАРМ</t>
  </si>
  <si>
    <t>ООО ПРОМКОРМ</t>
  </si>
  <si>
    <t>ООО ПРОМЫШЛЕННАЯАГРОПРОМЭНЕРГО</t>
  </si>
  <si>
    <t>ООО ПРОМЫШЛЕННОВСКАЯ ПМК-5</t>
  </si>
  <si>
    <t>ООО РИТЕЙЛ-ВОСТОК</t>
  </si>
  <si>
    <t>ООО РОЗНИЦА К-1</t>
  </si>
  <si>
    <t>ООО РСП-М</t>
  </si>
  <si>
    <t>ООО СЕМЬ ТОНН</t>
  </si>
  <si>
    <t>ООО СИБЛОМ</t>
  </si>
  <si>
    <t>4212041616</t>
  </si>
  <si>
    <t>ООО СИБПРОМ-СЕРВИС</t>
  </si>
  <si>
    <t>ООО СЛУЖБА ЕДИНОГО ЗАКАЗЧИКА ЖИЛИЩНО-КОММУНАЛЬНЫХ УСЛУГ</t>
  </si>
  <si>
    <t>ООО СОЮЗ</t>
  </si>
  <si>
    <t>ООО ТАНДЕМ-ПРОФИ</t>
  </si>
  <si>
    <t>ООО ТАРАСОВСКОЕ</t>
  </si>
  <si>
    <t>ООО ТОРГОВЫЙ ДОМ АГРУС</t>
  </si>
  <si>
    <t>ООО ТОРГОВЫЙ ДОМ КАРАВАЙ</t>
  </si>
  <si>
    <t>ООО ФАЙБЕР ТЕЛЕКОМ</t>
  </si>
  <si>
    <t>ООО ЦВЕТУЩИЙ</t>
  </si>
  <si>
    <t>ООО ЦИКЛАМЕН</t>
  </si>
  <si>
    <t>ООО ЦИМУС-НОВОСИБИРСК</t>
  </si>
  <si>
    <t>ООО ЧАСТНАЯ ПИВОВАРНЯ</t>
  </si>
  <si>
    <t>ООО ШУМАХЕР</t>
  </si>
  <si>
    <t>ООО ЭКСПАНСИЯ</t>
  </si>
  <si>
    <t>ООО ЭЛЕМЕНТ-ТРЕЙД</t>
  </si>
  <si>
    <t>4212045145</t>
  </si>
  <si>
    <t>ФЕДЕРАЛЬНОЕ БЮДЖЕТНОЕ УЧРЕЖДЕНИЕ ЗДРАВООХРАНЕНИЯ "ЦЕНТР ГИГИЕНЫ И ЭПИДЕМИОЛОГИИ В КЕМЕРОВСКОЙ ОБЛАСТИ-КУЗБАССЕ"</t>
  </si>
  <si>
    <t>ФЕДЕРАЛЬНОЕ ГОСУДАРСТВЕННОЕ БЮДЖЕТНОЕ УЧРЕЖДЕНИЕ ЗАПАДНО-СИБИРСКОЕ УПРАВЛЕНИЕ ПО ГИДРОМЕТЕОРОЛОГИИ И МОНИТОРИНГУ ОКРУЖАЮЩЕЙ СРЕДЫ</t>
  </si>
  <si>
    <t>ФЕДЕРАЛЬНОЕ ГОСУДАРСТВЕННОЕ БЮДЖЕТНОЕ УЧРЕЖДЕНИЕ РОССИЙСКИЙ СЕЛЬСКОХОЗЯЙСТВЕННЫЙ ЦЕНТР</t>
  </si>
  <si>
    <t>ФЕДЕРАЛЬНОЕ ГОСУДАРСТВЕННОЕ ПРЕДПРИЯТИЕ "ВЕДОМСТВЕННАЯ ОХРАНА ЖЕЛЕЗНОДОРОЖНОГО ТРАНСПОРТА РОССИЙСКОЙ ФЕДЕРАЦИИ"</t>
  </si>
  <si>
    <t>ФЕДЕРАЛЬНОЕ КАЗЕННОЕ УЧРЕЖДЕНИЕ "ВОЕННЫЙ КОМИССАРИАТ КЕМЕРОВСКОЙ ОБЛАСТИ-КУЗБАССА"</t>
  </si>
  <si>
    <t>ФЕДЕРАЛЬНОЕ КАЗЕННОЕ УЧРЕЖДЕНИЕ "УГОЛОВНО-ИСПОЛНИТЕЛЬНАЯ ИНСПЕКЦИЯ ГЛАВНОГО УПРАВЛЕНИЯ ФЕДЕРАЛЬНОЙ СЛУЖБЫ ИСПОЛНЕНИЯ НАКАЗАНИЙ ПО КЕМЕРОВСКОЙ ОБЛАСТИ - КУЗБАССУ"</t>
  </si>
  <si>
    <t>ФЕРМЕРСКОЕ ХОЗЯЙСТВО ДОЛБНЯ М.Ф.</t>
  </si>
  <si>
    <t>ФЕРМЕРСКОЕ ХОЗЯЙСТВО КУГЕЛЬ ВЛАДИМИР ГУСТОВИЧ</t>
  </si>
  <si>
    <t>ДОПНОРМАТИВ</t>
  </si>
  <si>
    <t>факт на 01.10.23</t>
  </si>
  <si>
    <t>на 4 квартал</t>
  </si>
  <si>
    <t>на 01.10.2023г</t>
  </si>
  <si>
    <t>на 4-й квартал только АО Ваганово</t>
  </si>
  <si>
    <t>октябрь-ноябрь по ср.мес. за последние 6 мес. с учетом увелич з/пл, декабрь с коэф-м 1,5 для всех</t>
  </si>
  <si>
    <t>2023 (на 01.10.23)</t>
  </si>
  <si>
    <t>В бюджет округа</t>
  </si>
  <si>
    <t>ПРОГНОЗ  налога на доходы физических лиц в бюджет 2024 -2026гг</t>
  </si>
  <si>
    <t>2024 год</t>
  </si>
  <si>
    <t>2025 год</t>
  </si>
  <si>
    <t>2026 год</t>
  </si>
  <si>
    <t>Данные МФК</t>
  </si>
  <si>
    <t>НДФЛ (контингент), тыс. руб.</t>
  </si>
  <si>
    <t>Доп. норматив, тыс. руб.</t>
  </si>
  <si>
    <t>Доп. норматив, %</t>
  </si>
  <si>
    <t>% зачисления в МО (ДН+БК)</t>
  </si>
  <si>
    <t>КБК</t>
  </si>
  <si>
    <t>Бюджет округа</t>
  </si>
  <si>
    <t>Доп. норматив 43,78%, тыс. руб.</t>
  </si>
  <si>
    <t>Доп. норматив 38,09%, тыс. руб.</t>
  </si>
  <si>
    <t>Контингент из расчета доп. норматива 43,78,%, 38,09%</t>
  </si>
  <si>
    <t>Доп. норматив 44,56%, тыс. руб.</t>
  </si>
  <si>
    <t>Доп. норматив 38,77%, тыс. руб.</t>
  </si>
  <si>
    <t>Контингент из расчета доп. норматива 44,56%, 38,77%</t>
  </si>
  <si>
    <t>Доп. норматив 45,13%, тыс. руб.</t>
  </si>
  <si>
    <t>Доп. норматив 39,26%, тыс. руб.</t>
  </si>
  <si>
    <t>Контингент из расчета доп. норматива 45,13%, 39,26%</t>
  </si>
  <si>
    <t>ИТОГО:</t>
  </si>
  <si>
    <t>Сумма доп. норматива</t>
  </si>
  <si>
    <t>10102040:</t>
  </si>
  <si>
    <t>2024г</t>
  </si>
  <si>
    <t>2025г</t>
  </si>
  <si>
    <t>к-т 2,40</t>
  </si>
  <si>
    <t>2026г</t>
  </si>
  <si>
    <t>к-т 2,226</t>
  </si>
  <si>
    <t>проект МЭР</t>
  </si>
  <si>
    <t>проект КО</t>
  </si>
  <si>
    <t>ПЗПО СОЮЗ</t>
  </si>
  <si>
    <t>СХППК БАРСКИЙ ДВОР</t>
  </si>
  <si>
    <t>СХКПК "ПРОГРЕСС"</t>
  </si>
  <si>
    <t>СХПЗСК УТРО</t>
  </si>
  <si>
    <t>СХПК ТАЕЖНЫЙ</t>
  </si>
  <si>
    <t>СХПК ТРИО</t>
  </si>
  <si>
    <t>СХППК "СОГЛАСИЕ"</t>
  </si>
  <si>
    <t>ПАО "РОССЕТИ СИБИРЬ"</t>
  </si>
  <si>
    <t>ПАО "РОСТЕЛЕКОМ"</t>
  </si>
  <si>
    <t>ПАО "СОВКОМБАНК"</t>
  </si>
  <si>
    <t>ПАО КУЗБАССКАЯ ЭНЕРГЕТИЧЕСКАЯ СБЫТОВАЯ КОМПАНИЯ</t>
  </si>
  <si>
    <t>ПАО СБЕРБАНК РОССИИ</t>
  </si>
  <si>
    <t>ОАО "ПРОМЫШЛЕННАЯРАЙГАЗ"</t>
  </si>
  <si>
    <t>ОАО АПТЕКИ КУЗБАССА</t>
  </si>
  <si>
    <t>ОАО РОССИЙСКИЕ ЖЕЛЕЗНЫЕ ДОРОГИ</t>
  </si>
  <si>
    <t>ОАО СЕВЕРО-КУЗБАССКАЯ ЭНЕРГЕТИЧЕСКАЯ КОМПАНИЯ</t>
  </si>
  <si>
    <t>ПК "ПРОМ-ЭКСПРЕСС"</t>
  </si>
  <si>
    <t>ПК СМАК</t>
  </si>
  <si>
    <t>ТПК КЕДР</t>
  </si>
  <si>
    <r>
      <t xml:space="preserve">расчет исходя из 190 фик. вып/год (ожид. за 2023г) </t>
    </r>
    <r>
      <rPr>
        <b/>
        <i/>
        <sz val="9"/>
        <color rgb="FFFF0000"/>
        <rFont val="ITC Avant Garde Gothic"/>
        <family val="2"/>
      </rPr>
      <t>1200*2,400*2,226=6410,88*190=1218067,2</t>
    </r>
  </si>
  <si>
    <t>1218067,2*43,78%=533269=533т.р.</t>
  </si>
  <si>
    <t>533*1,0855=578т.р</t>
  </si>
  <si>
    <t>578*1,086=628т.р</t>
  </si>
  <si>
    <t>исходя из расчета 190 пл/г</t>
  </si>
  <si>
    <t>58,78%; 43,78%; 51,09%; 38,09%</t>
  </si>
  <si>
    <t>59,56%; 44,56%; 51,77%; 38,77%</t>
  </si>
  <si>
    <t>60,13%; 45,13%; 52,26%; 39,26%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</si>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</sst>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color theme="1"/>
      <name val="ITC Avant Garde Gothic"/>
      <family val="2"/>
    </font>
    <font>
      <i/>
      <sz val="10"/>
      <color theme="1"/>
      <name val="ITC Avant Garde Gothic"/>
      <family val="2"/>
    </font>
    <font>
      <i/>
      <sz val="9"/>
      <color theme="1"/>
      <name val="ITC Avant Garde Gothic"/>
      <family val="2"/>
    </font>
    <font>
      <i/>
      <sz val="11"/>
      <color theme="1"/>
      <name val="ITC Avant Garde Gothic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4"/>
      <color theme="1"/>
      <name val="ITC Avant Garde Gothic"/>
      <family val="2"/>
    </font>
    <font>
      <i/>
      <sz val="14"/>
      <color theme="1"/>
      <name val="ITC Avant Garde Gothic"/>
      <family val="2"/>
    </font>
    <font>
      <sz val="10"/>
      <color theme="1"/>
      <name val="ITC Avant Garde Gothic"/>
      <family val="2"/>
    </font>
    <font>
      <sz val="14"/>
      <color theme="1"/>
      <name val="Times New Roman"/>
      <family val="1"/>
      <charset val="204"/>
    </font>
    <font>
      <b/>
      <i/>
      <sz val="9"/>
      <color rgb="FF0000FF"/>
      <name val="ITC Avant Garde Gothic"/>
      <family val="2"/>
    </font>
    <font>
      <b/>
      <i/>
      <sz val="10"/>
      <color theme="1"/>
      <name val="ITC Avant Garde Gothic"/>
      <family val="2"/>
    </font>
    <font>
      <b/>
      <i/>
      <sz val="10"/>
      <color rgb="FF0000FF"/>
      <name val="ITC Avant Garde Gothic"/>
      <family val="2"/>
    </font>
    <font>
      <b/>
      <i/>
      <sz val="11"/>
      <color rgb="FF0000FF"/>
      <name val="ITC Avant Garde Gothic"/>
      <family val="2"/>
    </font>
    <font>
      <i/>
      <sz val="10"/>
      <color rgb="FF0000FF"/>
      <name val="ITC Avant Garde Gothic"/>
      <family val="2"/>
    </font>
    <font>
      <u/>
      <sz val="11"/>
      <color theme="10"/>
      <name val="Calibri"/>
      <family val="2"/>
      <charset val="204"/>
      <scheme val="minor"/>
    </font>
    <font>
      <b/>
      <i/>
      <sz val="10"/>
      <color theme="1"/>
      <name val="Arial Narrow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i/>
      <sz val="9"/>
      <color theme="1"/>
      <name val="ITC Avant Garde Gothic"/>
      <family val="2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0"/>
      <color theme="1"/>
      <name val="Arial Narrow"/>
      <family val="2"/>
      <charset val="204"/>
    </font>
    <font>
      <b/>
      <sz val="10"/>
      <color theme="1"/>
      <name val="ITC Avant Garde Gothic"/>
      <family val="2"/>
    </font>
    <font>
      <sz val="10"/>
      <color theme="1"/>
      <name val="Arial Narrow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ITC Avant Garde Gothic"/>
      <family val="2"/>
    </font>
    <font>
      <b/>
      <sz val="11"/>
      <color theme="1"/>
      <name val="ITC Avant Garde Gothic"/>
      <family val="2"/>
    </font>
    <font>
      <i/>
      <sz val="11"/>
      <color rgb="FF0000FF"/>
      <name val="ITC Avant Garde Gothic"/>
      <family val="2"/>
    </font>
    <font>
      <b/>
      <i/>
      <sz val="9"/>
      <color rgb="FFFF0000"/>
      <name val="ITC Avant Garde Gothic"/>
      <family val="2"/>
    </font>
    <font>
      <sz val="10"/>
      <name val="ITC Avant Garde Gothic"/>
      <family val="2"/>
    </font>
    <font>
      <b/>
      <i/>
      <sz val="10"/>
      <color rgb="FFFF0000"/>
      <name val="ITC Avant Garde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/>
  </cellStyleXfs>
  <cellXfs count="201">
    <xf numFmtId="0" fontId="0" fillId="0" borderId="0" xfId="0"/>
    <xf numFmtId="0" fontId="8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4" fontId="10" fillId="0" borderId="0" xfId="0" applyNumberFormat="1" applyFont="1" applyBorder="1" applyAlignment="1">
      <alignment vertical="center"/>
    </xf>
    <xf numFmtId="0" fontId="5" fillId="0" borderId="0" xfId="0" applyFont="1"/>
    <xf numFmtId="0" fontId="11" fillId="0" borderId="0" xfId="0" applyFont="1" applyAlignment="1"/>
    <xf numFmtId="0" fontId="5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Continuous" vertical="center"/>
    </xf>
    <xf numFmtId="0" fontId="4" fillId="4" borderId="15" xfId="0" applyFont="1" applyFill="1" applyBorder="1" applyAlignment="1">
      <alignment horizontal="centerContinuous" vertical="center"/>
    </xf>
    <xf numFmtId="0" fontId="4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Continuous" vertical="center"/>
    </xf>
    <xf numFmtId="0" fontId="4" fillId="4" borderId="4" xfId="0" applyFont="1" applyFill="1" applyBorder="1" applyAlignment="1">
      <alignment horizontal="centerContinuous" vertical="center"/>
    </xf>
    <xf numFmtId="0" fontId="11" fillId="0" borderId="0" xfId="0" applyFont="1"/>
    <xf numFmtId="0" fontId="5" fillId="4" borderId="19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 wrapText="1"/>
    </xf>
    <xf numFmtId="9" fontId="4" fillId="4" borderId="12" xfId="0" applyNumberFormat="1" applyFont="1" applyFill="1" applyBorder="1" applyAlignment="1">
      <alignment horizontal="center" vertical="center"/>
    </xf>
    <xf numFmtId="9" fontId="4" fillId="4" borderId="14" xfId="0" applyNumberFormat="1" applyFont="1" applyFill="1" applyBorder="1" applyAlignment="1">
      <alignment horizontal="center" vertical="center"/>
    </xf>
    <xf numFmtId="0" fontId="13" fillId="4" borderId="6" xfId="0" applyFont="1" applyFill="1" applyBorder="1"/>
    <xf numFmtId="4" fontId="13" fillId="4" borderId="8" xfId="0" applyNumberFormat="1" applyFont="1" applyFill="1" applyBorder="1"/>
    <xf numFmtId="4" fontId="13" fillId="4" borderId="25" xfId="0" applyNumberFormat="1" applyFont="1" applyFill="1" applyBorder="1"/>
    <xf numFmtId="4" fontId="13" fillId="4" borderId="18" xfId="0" applyNumberFormat="1" applyFont="1" applyFill="1" applyBorder="1" applyAlignment="1">
      <alignment vertical="center"/>
    </xf>
    <xf numFmtId="4" fontId="13" fillId="4" borderId="26" xfId="0" applyNumberFormat="1" applyFont="1" applyFill="1" applyBorder="1" applyAlignment="1">
      <alignment vertical="center"/>
    </xf>
    <xf numFmtId="0" fontId="14" fillId="3" borderId="6" xfId="0" applyFont="1" applyFill="1" applyBorder="1"/>
    <xf numFmtId="4" fontId="14" fillId="3" borderId="24" xfId="0" applyNumberFormat="1" applyFont="1" applyFill="1" applyBorder="1"/>
    <xf numFmtId="4" fontId="14" fillId="3" borderId="1" xfId="0" applyNumberFormat="1" applyFont="1" applyFill="1" applyBorder="1"/>
    <xf numFmtId="4" fontId="14" fillId="3" borderId="27" xfId="0" applyNumberFormat="1" applyFont="1" applyFill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15" fillId="0" borderId="11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right" vertical="center"/>
    </xf>
    <xf numFmtId="9" fontId="2" fillId="0" borderId="11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9" fontId="16" fillId="0" borderId="28" xfId="0" applyNumberFormat="1" applyFont="1" applyBorder="1" applyAlignment="1">
      <alignment wrapText="1"/>
    </xf>
    <xf numFmtId="3" fontId="15" fillId="0" borderId="13" xfId="0" applyNumberFormat="1" applyFont="1" applyBorder="1" applyAlignment="1">
      <alignment horizontal="right" vertical="center"/>
    </xf>
    <xf numFmtId="3" fontId="15" fillId="0" borderId="14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0" fillId="0" borderId="0" xfId="0" applyBorder="1"/>
    <xf numFmtId="0" fontId="10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164" fontId="10" fillId="0" borderId="0" xfId="0" applyNumberFormat="1" applyFont="1" applyBorder="1"/>
    <xf numFmtId="4" fontId="13" fillId="4" borderId="29" xfId="0" applyNumberFormat="1" applyFont="1" applyFill="1" applyBorder="1" applyAlignment="1">
      <alignment vertical="center"/>
    </xf>
    <xf numFmtId="4" fontId="13" fillId="4" borderId="8" xfId="0" applyNumberFormat="1" applyFont="1" applyFill="1" applyBorder="1" applyAlignment="1">
      <alignment vertical="center"/>
    </xf>
    <xf numFmtId="4" fontId="13" fillId="4" borderId="25" xfId="0" applyNumberFormat="1" applyFont="1" applyFill="1" applyBorder="1" applyAlignment="1">
      <alignment vertical="center"/>
    </xf>
    <xf numFmtId="0" fontId="17" fillId="4" borderId="18" xfId="2" applyFill="1" applyBorder="1" applyAlignment="1">
      <alignment vertical="center"/>
    </xf>
    <xf numFmtId="0" fontId="13" fillId="4" borderId="22" xfId="0" applyFont="1" applyFill="1" applyBorder="1" applyAlignment="1">
      <alignment vertical="center"/>
    </xf>
    <xf numFmtId="4" fontId="13" fillId="4" borderId="22" xfId="0" applyNumberFormat="1" applyFont="1" applyFill="1" applyBorder="1" applyAlignment="1">
      <alignment vertical="center"/>
    </xf>
    <xf numFmtId="4" fontId="13" fillId="4" borderId="24" xfId="0" applyNumberFormat="1" applyFont="1" applyFill="1" applyBorder="1" applyAlignment="1">
      <alignment vertical="center"/>
    </xf>
    <xf numFmtId="4" fontId="13" fillId="4" borderId="23" xfId="0" applyNumberFormat="1" applyFont="1" applyFill="1" applyBorder="1" applyAlignment="1">
      <alignment vertical="center"/>
    </xf>
    <xf numFmtId="0" fontId="3" fillId="4" borderId="30" xfId="0" applyFont="1" applyFill="1" applyBorder="1" applyAlignment="1">
      <alignment horizontal="centerContinuous" vertical="center"/>
    </xf>
    <xf numFmtId="0" fontId="4" fillId="4" borderId="29" xfId="0" applyFont="1" applyFill="1" applyBorder="1" applyAlignment="1">
      <alignment horizontal="centerContinuous"/>
    </xf>
    <xf numFmtId="0" fontId="3" fillId="4" borderId="31" xfId="0" applyFont="1" applyFill="1" applyBorder="1" applyAlignment="1">
      <alignment horizontal="centerContinuous" wrapText="1"/>
    </xf>
    <xf numFmtId="0" fontId="3" fillId="4" borderId="31" xfId="0" applyFont="1" applyFill="1" applyBorder="1"/>
    <xf numFmtId="0" fontId="3" fillId="4" borderId="25" xfId="0" applyFont="1" applyFill="1" applyBorder="1"/>
    <xf numFmtId="0" fontId="3" fillId="4" borderId="23" xfId="0" applyFont="1" applyFill="1" applyBorder="1" applyAlignment="1">
      <alignment horizontal="centerContinuous"/>
    </xf>
    <xf numFmtId="0" fontId="3" fillId="4" borderId="31" xfId="0" applyFont="1" applyFill="1" applyBorder="1" applyAlignment="1">
      <alignment horizontal="centerContinuous" vertical="center" wrapText="1"/>
    </xf>
    <xf numFmtId="0" fontId="3" fillId="0" borderId="32" xfId="0" applyFont="1" applyBorder="1"/>
    <xf numFmtId="4" fontId="13" fillId="4" borderId="6" xfId="0" applyNumberFormat="1" applyFont="1" applyFill="1" applyBorder="1" applyAlignment="1">
      <alignment vertical="center"/>
    </xf>
    <xf numFmtId="0" fontId="5" fillId="0" borderId="6" xfId="0" applyFont="1" applyBorder="1"/>
    <xf numFmtId="0" fontId="13" fillId="4" borderId="6" xfId="0" applyFont="1" applyFill="1" applyBorder="1" applyAlignment="1">
      <alignment vertical="center"/>
    </xf>
    <xf numFmtId="0" fontId="0" fillId="0" borderId="6" xfId="0" applyBorder="1"/>
    <xf numFmtId="0" fontId="17" fillId="4" borderId="6" xfId="2" applyFill="1" applyBorder="1" applyAlignment="1">
      <alignment vertical="center"/>
    </xf>
    <xf numFmtId="3" fontId="3" fillId="0" borderId="6" xfId="0" applyNumberFormat="1" applyFont="1" applyBorder="1"/>
    <xf numFmtId="0" fontId="19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49" fontId="3" fillId="0" borderId="6" xfId="0" applyNumberFormat="1" applyFont="1" applyBorder="1" applyAlignment="1">
      <alignment wrapText="1"/>
    </xf>
    <xf numFmtId="49" fontId="3" fillId="0" borderId="6" xfId="0" applyNumberFormat="1" applyFont="1" applyBorder="1" applyAlignment="1"/>
    <xf numFmtId="4" fontId="3" fillId="0" borderId="6" xfId="0" applyNumberFormat="1" applyFont="1" applyBorder="1"/>
    <xf numFmtId="0" fontId="13" fillId="0" borderId="6" xfId="0" applyFont="1" applyBorder="1"/>
    <xf numFmtId="49" fontId="2" fillId="2" borderId="0" xfId="0" applyNumberFormat="1" applyFont="1" applyFill="1"/>
    <xf numFmtId="4" fontId="5" fillId="0" borderId="6" xfId="0" applyNumberFormat="1" applyFont="1" applyBorder="1"/>
    <xf numFmtId="4" fontId="2" fillId="0" borderId="6" xfId="0" applyNumberFormat="1" applyFont="1" applyBorder="1"/>
    <xf numFmtId="0" fontId="2" fillId="0" borderId="0" xfId="0" applyFont="1"/>
    <xf numFmtId="0" fontId="5" fillId="0" borderId="0" xfId="0" applyFont="1" applyAlignment="1">
      <alignment horizontal="right"/>
    </xf>
    <xf numFmtId="49" fontId="5" fillId="0" borderId="0" xfId="0" applyNumberFormat="1" applyFont="1"/>
    <xf numFmtId="0" fontId="2" fillId="0" borderId="6" xfId="0" applyFont="1" applyBorder="1" applyAlignment="1">
      <alignment horizontal="center"/>
    </xf>
    <xf numFmtId="49" fontId="5" fillId="0" borderId="6" xfId="0" applyNumberFormat="1" applyFont="1" applyBorder="1" applyAlignment="1"/>
    <xf numFmtId="0" fontId="2" fillId="0" borderId="6" xfId="0" applyFont="1" applyBorder="1"/>
    <xf numFmtId="4" fontId="5" fillId="0" borderId="0" xfId="0" applyNumberFormat="1" applyFont="1"/>
    <xf numFmtId="4" fontId="15" fillId="0" borderId="6" xfId="0" applyNumberFormat="1" applyFont="1" applyBorder="1"/>
    <xf numFmtId="0" fontId="5" fillId="0" borderId="9" xfId="0" applyFont="1" applyBorder="1"/>
    <xf numFmtId="0" fontId="5" fillId="0" borderId="10" xfId="0" applyFont="1" applyBorder="1"/>
    <xf numFmtId="0" fontId="20" fillId="0" borderId="6" xfId="0" applyFont="1" applyBorder="1" applyAlignment="1">
      <alignment horizontal="right"/>
    </xf>
    <xf numFmtId="10" fontId="2" fillId="0" borderId="0" xfId="0" applyNumberFormat="1" applyFont="1"/>
    <xf numFmtId="0" fontId="13" fillId="0" borderId="0" xfId="0" applyFont="1"/>
    <xf numFmtId="49" fontId="5" fillId="0" borderId="6" xfId="0" applyNumberFormat="1" applyFont="1" applyBorder="1" applyAlignment="1">
      <alignment wrapText="1"/>
    </xf>
    <xf numFmtId="49" fontId="5" fillId="5" borderId="6" xfId="0" applyNumberFormat="1" applyFont="1" applyFill="1" applyBorder="1" applyAlignment="1">
      <alignment wrapText="1"/>
    </xf>
    <xf numFmtId="49" fontId="5" fillId="5" borderId="6" xfId="0" applyNumberFormat="1" applyFont="1" applyFill="1" applyBorder="1" applyAlignment="1"/>
    <xf numFmtId="49" fontId="3" fillId="0" borderId="0" xfId="0" applyNumberFormat="1" applyFont="1" applyFill="1" applyBorder="1" applyAlignment="1">
      <alignment horizontal="centerContinuous" wrapText="1"/>
    </xf>
    <xf numFmtId="0" fontId="0" fillId="0" borderId="0" xfId="0" applyAlignment="1">
      <alignment horizontal="centerContinuous"/>
    </xf>
    <xf numFmtId="0" fontId="2" fillId="5" borderId="0" xfId="0" applyFont="1" applyFill="1"/>
    <xf numFmtId="4" fontId="3" fillId="5" borderId="6" xfId="0" applyNumberFormat="1" applyFont="1" applyFill="1" applyBorder="1"/>
    <xf numFmtId="3" fontId="15" fillId="0" borderId="7" xfId="0" applyNumberFormat="1" applyFont="1" applyBorder="1" applyAlignment="1">
      <alignment horizontal="right" vertical="center"/>
    </xf>
    <xf numFmtId="0" fontId="22" fillId="0" borderId="6" xfId="0" applyFont="1" applyBorder="1"/>
    <xf numFmtId="0" fontId="22" fillId="0" borderId="6" xfId="0" applyFont="1" applyBorder="1" applyAlignment="1">
      <alignment wrapText="1"/>
    </xf>
    <xf numFmtId="0" fontId="4" fillId="0" borderId="6" xfId="0" applyFont="1" applyBorder="1" applyAlignment="1">
      <alignment horizontal="right"/>
    </xf>
    <xf numFmtId="0" fontId="4" fillId="0" borderId="6" xfId="0" applyFont="1" applyBorder="1"/>
    <xf numFmtId="0" fontId="21" fillId="0" borderId="6" xfId="0" applyFont="1" applyBorder="1"/>
    <xf numFmtId="3" fontId="23" fillId="0" borderId="6" xfId="0" applyNumberFormat="1" applyFont="1" applyBorder="1"/>
    <xf numFmtId="3" fontId="13" fillId="0" borderId="6" xfId="0" applyNumberFormat="1" applyFont="1" applyBorder="1"/>
    <xf numFmtId="0" fontId="13" fillId="0" borderId="6" xfId="0" applyFont="1" applyBorder="1" applyAlignment="1">
      <alignment vertical="center"/>
    </xf>
    <xf numFmtId="0" fontId="24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0" fillId="0" borderId="0" xfId="0" applyFont="1"/>
    <xf numFmtId="0" fontId="26" fillId="0" borderId="0" xfId="0" applyFont="1"/>
    <xf numFmtId="0" fontId="10" fillId="0" borderId="0" xfId="0" applyFont="1" applyAlignment="1">
      <alignment horizontal="right"/>
    </xf>
    <xf numFmtId="49" fontId="25" fillId="0" borderId="0" xfId="0" applyNumberFormat="1" applyFont="1"/>
    <xf numFmtId="49" fontId="10" fillId="0" borderId="0" xfId="0" applyNumberFormat="1" applyFont="1"/>
    <xf numFmtId="0" fontId="25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/>
    </xf>
    <xf numFmtId="16" fontId="25" fillId="0" borderId="6" xfId="0" applyNumberFormat="1" applyFont="1" applyBorder="1" applyAlignment="1">
      <alignment horizontal="center" vertical="center" wrapText="1"/>
    </xf>
    <xf numFmtId="0" fontId="26" fillId="0" borderId="6" xfId="0" applyFont="1" applyBorder="1" applyAlignment="1">
      <alignment vertical="center" wrapText="1"/>
    </xf>
    <xf numFmtId="49" fontId="10" fillId="0" borderId="6" xfId="0" applyNumberFormat="1" applyFont="1" applyBorder="1" applyAlignment="1">
      <alignment horizontal="center" vertical="center"/>
    </xf>
    <xf numFmtId="4" fontId="10" fillId="0" borderId="6" xfId="0" applyNumberFormat="1" applyFont="1" applyBorder="1"/>
    <xf numFmtId="0" fontId="26" fillId="6" borderId="6" xfId="0" applyFont="1" applyFill="1" applyBorder="1" applyAlignment="1">
      <alignment vertical="center" wrapText="1"/>
    </xf>
    <xf numFmtId="49" fontId="10" fillId="6" borderId="6" xfId="0" applyNumberFormat="1" applyFont="1" applyFill="1" applyBorder="1" applyAlignment="1">
      <alignment horizontal="center" vertical="center"/>
    </xf>
    <xf numFmtId="4" fontId="10" fillId="6" borderId="6" xfId="0" applyNumberFormat="1" applyFont="1" applyFill="1" applyBorder="1"/>
    <xf numFmtId="0" fontId="24" fillId="0" borderId="24" xfId="0" applyFont="1" applyBorder="1"/>
    <xf numFmtId="0" fontId="10" fillId="0" borderId="9" xfId="0" applyFont="1" applyBorder="1"/>
    <xf numFmtId="4" fontId="25" fillId="0" borderId="6" xfId="0" applyNumberFormat="1" applyFont="1" applyBorder="1"/>
    <xf numFmtId="0" fontId="18" fillId="6" borderId="0" xfId="0" applyFont="1" applyFill="1" applyAlignment="1">
      <alignment horizontal="right"/>
    </xf>
    <xf numFmtId="10" fontId="10" fillId="6" borderId="0" xfId="0" applyNumberFormat="1" applyFont="1" applyFill="1"/>
    <xf numFmtId="0" fontId="10" fillId="6" borderId="0" xfId="0" applyFont="1" applyFill="1"/>
    <xf numFmtId="0" fontId="14" fillId="0" borderId="6" xfId="0" applyFont="1" applyBorder="1" applyAlignment="1">
      <alignment horizontal="center"/>
    </xf>
    <xf numFmtId="0" fontId="0" fillId="0" borderId="0" xfId="0" applyAlignment="1"/>
    <xf numFmtId="3" fontId="3" fillId="4" borderId="6" xfId="0" applyNumberFormat="1" applyFont="1" applyFill="1" applyBorder="1"/>
    <xf numFmtId="0" fontId="9" fillId="0" borderId="0" xfId="0" applyFont="1" applyBorder="1" applyAlignment="1">
      <alignment horizontal="centerContinuous"/>
    </xf>
    <xf numFmtId="0" fontId="28" fillId="0" borderId="0" xfId="0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Continuous"/>
    </xf>
    <xf numFmtId="0" fontId="2" fillId="0" borderId="33" xfId="0" applyFont="1" applyBorder="1" applyAlignment="1">
      <alignment horizontal="centerContinuous"/>
    </xf>
    <xf numFmtId="0" fontId="2" fillId="0" borderId="34" xfId="0" applyFont="1" applyBorder="1" applyAlignment="1">
      <alignment horizontal="centerContinuous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3" fontId="29" fillId="0" borderId="6" xfId="0" applyNumberFormat="1" applyFont="1" applyBorder="1"/>
    <xf numFmtId="0" fontId="29" fillId="0" borderId="6" xfId="0" applyFont="1" applyBorder="1"/>
    <xf numFmtId="0" fontId="29" fillId="0" borderId="7" xfId="0" applyFont="1" applyBorder="1"/>
    <xf numFmtId="0" fontId="30" fillId="0" borderId="6" xfId="0" applyFont="1" applyBorder="1"/>
    <xf numFmtId="0" fontId="30" fillId="0" borderId="7" xfId="0" applyFont="1" applyBorder="1"/>
    <xf numFmtId="0" fontId="28" fillId="0" borderId="35" xfId="0" applyFont="1" applyBorder="1"/>
    <xf numFmtId="0" fontId="28" fillId="0" borderId="0" xfId="0" applyFont="1" applyBorder="1"/>
    <xf numFmtId="0" fontId="28" fillId="0" borderId="36" xfId="0" applyFont="1" applyBorder="1"/>
    <xf numFmtId="0" fontId="3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/>
    </xf>
    <xf numFmtId="0" fontId="28" fillId="3" borderId="11" xfId="0" applyFont="1" applyFill="1" applyBorder="1"/>
    <xf numFmtId="3" fontId="5" fillId="3" borderId="6" xfId="0" applyNumberFormat="1" applyFont="1" applyFill="1" applyBorder="1"/>
    <xf numFmtId="3" fontId="28" fillId="3" borderId="7" xfId="0" applyNumberFormat="1" applyFont="1" applyFill="1" applyBorder="1"/>
    <xf numFmtId="3" fontId="28" fillId="3" borderId="6" xfId="0" applyNumberFormat="1" applyFont="1" applyFill="1" applyBorder="1"/>
    <xf numFmtId="0" fontId="28" fillId="7" borderId="11" xfId="0" applyFont="1" applyFill="1" applyBorder="1"/>
    <xf numFmtId="3" fontId="29" fillId="7" borderId="6" xfId="0" applyNumberFormat="1" applyFont="1" applyFill="1" applyBorder="1"/>
    <xf numFmtId="3" fontId="28" fillId="0" borderId="7" xfId="0" applyNumberFormat="1" applyFont="1" applyBorder="1"/>
    <xf numFmtId="0" fontId="28" fillId="7" borderId="13" xfId="0" applyFont="1" applyFill="1" applyBorder="1"/>
    <xf numFmtId="3" fontId="29" fillId="7" borderId="13" xfId="0" applyNumberFormat="1" applyFont="1" applyFill="1" applyBorder="1"/>
    <xf numFmtId="3" fontId="29" fillId="0" borderId="14" xfId="0" applyNumberFormat="1" applyFont="1" applyBorder="1"/>
    <xf numFmtId="0" fontId="4" fillId="0" borderId="0" xfId="0" applyFont="1"/>
    <xf numFmtId="0" fontId="32" fillId="0" borderId="0" xfId="0" applyFont="1"/>
    <xf numFmtId="0" fontId="31" fillId="0" borderId="0" xfId="0" applyFont="1"/>
    <xf numFmtId="0" fontId="17" fillId="0" borderId="0" xfId="2" quotePrefix="1"/>
    <xf numFmtId="0" fontId="33" fillId="0" borderId="0" xfId="0" applyFont="1"/>
    <xf numFmtId="3" fontId="28" fillId="0" borderId="0" xfId="0" applyNumberFormat="1" applyFont="1"/>
    <xf numFmtId="9" fontId="28" fillId="0" borderId="0" xfId="0" applyNumberFormat="1" applyFont="1"/>
    <xf numFmtId="0" fontId="33" fillId="0" borderId="0" xfId="0" applyFont="1" applyAlignment="1">
      <alignment horizontal="right"/>
    </xf>
    <xf numFmtId="0" fontId="3" fillId="7" borderId="12" xfId="0" applyFont="1" applyFill="1" applyBorder="1"/>
    <xf numFmtId="10" fontId="0" fillId="0" borderId="0" xfId="0" applyNumberFormat="1"/>
    <xf numFmtId="4" fontId="11" fillId="0" borderId="0" xfId="0" applyNumberFormat="1" applyFont="1"/>
    <xf numFmtId="0" fontId="19" fillId="0" borderId="6" xfId="0" applyFont="1" applyBorder="1" applyAlignment="1">
      <alignment horizontal="center" vertical="center" wrapText="1"/>
    </xf>
    <xf numFmtId="0" fontId="18" fillId="7" borderId="6" xfId="0" applyFont="1" applyFill="1" applyBorder="1" applyAlignment="1">
      <alignment vertical="center" wrapText="1"/>
    </xf>
    <xf numFmtId="49" fontId="13" fillId="7" borderId="6" xfId="0" applyNumberFormat="1" applyFont="1" applyFill="1" applyBorder="1" applyAlignment="1">
      <alignment horizontal="center" vertical="center"/>
    </xf>
    <xf numFmtId="4" fontId="13" fillId="7" borderId="6" xfId="0" applyNumberFormat="1" applyFont="1" applyFill="1" applyBorder="1"/>
    <xf numFmtId="4" fontId="10" fillId="7" borderId="6" xfId="0" applyNumberFormat="1" applyFont="1" applyFill="1" applyBorder="1"/>
    <xf numFmtId="0" fontId="2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right"/>
    </xf>
    <xf numFmtId="0" fontId="30" fillId="0" borderId="9" xfId="0" applyFont="1" applyBorder="1" applyAlignment="1">
      <alignment horizontal="right"/>
    </xf>
    <xf numFmtId="0" fontId="30" fillId="0" borderId="10" xfId="0" applyFont="1" applyBorder="1" applyAlignment="1">
      <alignment horizontal="right"/>
    </xf>
    <xf numFmtId="0" fontId="25" fillId="0" borderId="0" xfId="0" applyFont="1" applyAlignment="1">
      <alignment horizontal="center" vertical="center"/>
    </xf>
    <xf numFmtId="0" fontId="10" fillId="0" borderId="0" xfId="0" applyFont="1" applyAlignment="1"/>
    <xf numFmtId="0" fontId="25" fillId="0" borderId="24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workbookViewId="0">
      <selection activeCell="W11" sqref="W11"/>
    </sheetView>
  </sheetViews>
  <sheetFormatPr defaultRowHeight="15"/>
  <cols>
    <col min="1" max="1" width="11.7109375" customWidth="1"/>
    <col min="2" max="3" width="12.7109375" customWidth="1"/>
    <col min="4" max="4" width="10.7109375" customWidth="1"/>
    <col min="5" max="5" width="12.7109375" customWidth="1"/>
    <col min="6" max="6" width="10.7109375" customWidth="1"/>
    <col min="7" max="8" width="12.7109375" customWidth="1"/>
    <col min="9" max="9" width="9.85546875" customWidth="1"/>
    <col min="10" max="10" width="12.7109375" customWidth="1"/>
    <col min="11" max="11" width="11" customWidth="1"/>
    <col min="12" max="13" width="12.7109375" customWidth="1"/>
    <col min="14" max="14" width="9.5703125" customWidth="1"/>
    <col min="15" max="15" width="12.7109375" customWidth="1"/>
  </cols>
  <sheetData>
    <row r="1" spans="1:15">
      <c r="M1" s="184" t="s">
        <v>691</v>
      </c>
    </row>
    <row r="3" spans="1:15" ht="18.75">
      <c r="A3" s="137" t="s">
        <v>634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5" ht="15.75" thickBo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9"/>
    </row>
    <row r="5" spans="1:15" ht="15.75" thickBot="1">
      <c r="A5" s="140" t="s">
        <v>635</v>
      </c>
      <c r="B5" s="141"/>
      <c r="C5" s="141"/>
      <c r="D5" s="141"/>
      <c r="E5" s="142"/>
      <c r="F5" s="140" t="s">
        <v>636</v>
      </c>
      <c r="G5" s="141"/>
      <c r="H5" s="141"/>
      <c r="I5" s="141"/>
      <c r="J5" s="142"/>
      <c r="K5" s="140" t="s">
        <v>637</v>
      </c>
      <c r="L5" s="141"/>
      <c r="M5" s="141"/>
      <c r="N5" s="141"/>
      <c r="O5" s="142"/>
    </row>
    <row r="6" spans="1:15" ht="36">
      <c r="A6" s="185" t="s">
        <v>638</v>
      </c>
      <c r="B6" s="143" t="s">
        <v>639</v>
      </c>
      <c r="C6" s="144" t="s">
        <v>640</v>
      </c>
      <c r="D6" s="143" t="s">
        <v>641</v>
      </c>
      <c r="E6" s="145" t="s">
        <v>641</v>
      </c>
      <c r="F6" s="185" t="s">
        <v>638</v>
      </c>
      <c r="G6" s="143" t="s">
        <v>639</v>
      </c>
      <c r="H6" s="144" t="s">
        <v>640</v>
      </c>
      <c r="I6" s="143" t="s">
        <v>641</v>
      </c>
      <c r="J6" s="145" t="s">
        <v>641</v>
      </c>
      <c r="K6" s="185" t="s">
        <v>638</v>
      </c>
      <c r="L6" s="143" t="s">
        <v>639</v>
      </c>
      <c r="M6" s="144" t="s">
        <v>640</v>
      </c>
      <c r="N6" s="143" t="s">
        <v>641</v>
      </c>
      <c r="O6" s="145" t="s">
        <v>641</v>
      </c>
    </row>
    <row r="7" spans="1:15">
      <c r="A7" s="186"/>
      <c r="B7" s="146">
        <v>636383</v>
      </c>
      <c r="C7" s="146">
        <v>278598</v>
      </c>
      <c r="D7" s="147">
        <v>43.78</v>
      </c>
      <c r="E7" s="148">
        <v>38.090000000000003</v>
      </c>
      <c r="F7" s="186"/>
      <c r="G7" s="146">
        <v>680877</v>
      </c>
      <c r="H7" s="146">
        <v>303369</v>
      </c>
      <c r="I7" s="147">
        <v>44.56</v>
      </c>
      <c r="J7" s="148">
        <v>38.770000000000003</v>
      </c>
      <c r="K7" s="186"/>
      <c r="L7" s="146">
        <v>728471</v>
      </c>
      <c r="M7" s="146">
        <v>328746</v>
      </c>
      <c r="N7" s="147">
        <v>45.13</v>
      </c>
      <c r="O7" s="148">
        <v>39.26</v>
      </c>
    </row>
    <row r="8" spans="1:15">
      <c r="A8" s="187" t="s">
        <v>642</v>
      </c>
      <c r="B8" s="188"/>
      <c r="C8" s="189"/>
      <c r="D8" s="149">
        <v>58.78</v>
      </c>
      <c r="E8" s="150">
        <v>51.09</v>
      </c>
      <c r="F8" s="187" t="s">
        <v>642</v>
      </c>
      <c r="G8" s="188"/>
      <c r="H8" s="189"/>
      <c r="I8" s="149">
        <v>59.56</v>
      </c>
      <c r="J8" s="150">
        <v>51.77</v>
      </c>
      <c r="K8" s="187" t="s">
        <v>642</v>
      </c>
      <c r="L8" s="188"/>
      <c r="M8" s="189"/>
      <c r="N8" s="149">
        <v>60.13</v>
      </c>
      <c r="O8" s="150">
        <v>52.26</v>
      </c>
    </row>
    <row r="9" spans="1:15">
      <c r="A9" s="151"/>
      <c r="B9" s="152"/>
      <c r="C9" s="152"/>
      <c r="D9" s="152"/>
      <c r="E9" s="153"/>
      <c r="F9" s="151"/>
      <c r="G9" s="152"/>
      <c r="H9" s="152"/>
      <c r="I9" s="152"/>
      <c r="J9" s="153"/>
      <c r="K9" s="151"/>
      <c r="L9" s="152"/>
      <c r="M9" s="152"/>
      <c r="N9" s="152"/>
      <c r="O9" s="153"/>
    </row>
    <row r="10" spans="1:15" ht="72">
      <c r="A10" s="154" t="s">
        <v>643</v>
      </c>
      <c r="B10" s="155" t="s">
        <v>644</v>
      </c>
      <c r="C10" s="156" t="s">
        <v>645</v>
      </c>
      <c r="D10" s="155" t="s">
        <v>646</v>
      </c>
      <c r="E10" s="157" t="s">
        <v>647</v>
      </c>
      <c r="F10" s="154" t="s">
        <v>643</v>
      </c>
      <c r="G10" s="155" t="s">
        <v>644</v>
      </c>
      <c r="H10" s="156" t="s">
        <v>648</v>
      </c>
      <c r="I10" s="155" t="s">
        <v>649</v>
      </c>
      <c r="J10" s="157" t="s">
        <v>650</v>
      </c>
      <c r="K10" s="154" t="s">
        <v>643</v>
      </c>
      <c r="L10" s="155" t="s">
        <v>644</v>
      </c>
      <c r="M10" s="156" t="s">
        <v>651</v>
      </c>
      <c r="N10" s="155" t="s">
        <v>652</v>
      </c>
      <c r="O10" s="157" t="s">
        <v>653</v>
      </c>
    </row>
    <row r="11" spans="1:15">
      <c r="A11" s="158">
        <v>10102010</v>
      </c>
      <c r="B11" s="159">
        <v>373790</v>
      </c>
      <c r="C11" s="159">
        <f>+B11*D7/D8</f>
        <v>278402.96359305887</v>
      </c>
      <c r="D11" s="161"/>
      <c r="E11" s="160">
        <f>B11*100/58.78</f>
        <v>635913.57604627428</v>
      </c>
      <c r="F11" s="158">
        <v>10102010</v>
      </c>
      <c r="G11" s="159">
        <f>ROUND(B11*1.0855,0)</f>
        <v>405749</v>
      </c>
      <c r="H11" s="159">
        <f>+G11*I7/I8</f>
        <v>303562.38146406988</v>
      </c>
      <c r="I11" s="161"/>
      <c r="J11" s="160">
        <f>G11*100/59.56</f>
        <v>681244.12357286771</v>
      </c>
      <c r="K11" s="158">
        <v>10102010</v>
      </c>
      <c r="L11" s="159">
        <f>ROUND(G11*1.086,0)</f>
        <v>440643</v>
      </c>
      <c r="M11" s="159">
        <f>+L11*N7/N8</f>
        <v>330720.41559953435</v>
      </c>
      <c r="N11" s="161"/>
      <c r="O11" s="160">
        <f>L11*100/60.13</f>
        <v>732817.22933643765</v>
      </c>
    </row>
    <row r="12" spans="1:15">
      <c r="A12" s="158">
        <v>10102020</v>
      </c>
      <c r="B12" s="159">
        <v>725</v>
      </c>
      <c r="C12" s="159">
        <f>+B12*D7/D8</f>
        <v>539.98809118747874</v>
      </c>
      <c r="D12" s="161"/>
      <c r="E12" s="160">
        <f>B12*100/58.78</f>
        <v>1233.4127254168084</v>
      </c>
      <c r="F12" s="158">
        <v>10102020</v>
      </c>
      <c r="G12" s="159">
        <v>785</v>
      </c>
      <c r="H12" s="159">
        <f>+G12*I7/I8</f>
        <v>587.30020147750167</v>
      </c>
      <c r="I12" s="161"/>
      <c r="J12" s="160">
        <f>G12*100/59.56</f>
        <v>1317.9986568166555</v>
      </c>
      <c r="K12" s="158">
        <v>10102020</v>
      </c>
      <c r="L12" s="159">
        <v>850</v>
      </c>
      <c r="M12" s="159">
        <f>+L12*N7/N8</f>
        <v>637.9594212539497</v>
      </c>
      <c r="N12" s="161"/>
      <c r="O12" s="160">
        <f>L12*100/60.13</f>
        <v>1413.6038583070015</v>
      </c>
    </row>
    <row r="13" spans="1:15">
      <c r="A13" s="158">
        <v>10102030</v>
      </c>
      <c r="B13" s="159">
        <v>3077</v>
      </c>
      <c r="C13" s="159">
        <f>+B13*D7/D8</f>
        <v>2291.7839401156857</v>
      </c>
      <c r="D13" s="161"/>
      <c r="E13" s="160">
        <f>B13*100/58.78</f>
        <v>5234.7737325620956</v>
      </c>
      <c r="F13" s="158">
        <v>10102030</v>
      </c>
      <c r="G13" s="159">
        <v>3142</v>
      </c>
      <c r="H13" s="159">
        <f>+G13*I7/I8</f>
        <v>2350.6971121558095</v>
      </c>
      <c r="I13" s="161"/>
      <c r="J13" s="160">
        <f>G13*100/59.56</f>
        <v>5275.3525856279384</v>
      </c>
      <c r="K13" s="158">
        <v>10102030</v>
      </c>
      <c r="L13" s="159">
        <v>3151</v>
      </c>
      <c r="M13" s="159">
        <f>+L13*N7/N8</f>
        <v>2364.9531016131714</v>
      </c>
      <c r="N13" s="161"/>
      <c r="O13" s="160">
        <f>L13*100/60.13</f>
        <v>5240.3126559121902</v>
      </c>
    </row>
    <row r="14" spans="1:15">
      <c r="A14" s="158">
        <v>10102040</v>
      </c>
      <c r="B14" s="159">
        <v>533</v>
      </c>
      <c r="C14" s="159">
        <f>+B14</f>
        <v>533</v>
      </c>
      <c r="D14" s="161"/>
      <c r="E14" s="160">
        <f>B14*100/43.78</f>
        <v>1217.4508908177249</v>
      </c>
      <c r="F14" s="158">
        <v>10102040</v>
      </c>
      <c r="G14" s="159">
        <v>578</v>
      </c>
      <c r="H14" s="159">
        <f>+G14</f>
        <v>578</v>
      </c>
      <c r="I14" s="161"/>
      <c r="J14" s="160">
        <f>G14*100/44.56</f>
        <v>1297.1274685816875</v>
      </c>
      <c r="K14" s="158">
        <v>10102040</v>
      </c>
      <c r="L14" s="159">
        <v>628</v>
      </c>
      <c r="M14" s="159">
        <f>+L14</f>
        <v>628</v>
      </c>
      <c r="N14" s="161"/>
      <c r="O14" s="160">
        <f>L14*100/45.13</f>
        <v>1391.5355639264346</v>
      </c>
    </row>
    <row r="15" spans="1:15">
      <c r="A15" s="158">
        <v>10102080</v>
      </c>
      <c r="B15" s="159">
        <v>1550</v>
      </c>
      <c r="C15" s="161"/>
      <c r="D15" s="161">
        <f>+B15*E7/E8</f>
        <v>1155.5979643765904</v>
      </c>
      <c r="E15" s="160">
        <f>B15*87/51.09</f>
        <v>2639.4597768643566</v>
      </c>
      <c r="F15" s="158">
        <v>10102080</v>
      </c>
      <c r="G15" s="159">
        <v>1680</v>
      </c>
      <c r="H15" s="161"/>
      <c r="I15" s="161">
        <f>+G15*J7/J8</f>
        <v>1258.1340544717018</v>
      </c>
      <c r="J15" s="160">
        <f>G15*87/51.77</f>
        <v>2823.256712381688</v>
      </c>
      <c r="K15" s="158">
        <v>10102080</v>
      </c>
      <c r="L15" s="159">
        <v>1820</v>
      </c>
      <c r="M15" s="161"/>
      <c r="N15" s="161">
        <f>+L15*O7/O8</f>
        <v>1367.2636815920398</v>
      </c>
      <c r="O15" s="160">
        <f>L15*87/52.26</f>
        <v>3029.8507462686566</v>
      </c>
    </row>
    <row r="16" spans="1:15">
      <c r="A16" s="158">
        <v>10102130</v>
      </c>
      <c r="B16" s="159">
        <v>18</v>
      </c>
      <c r="C16" s="161">
        <f>+B16*D7/D8</f>
        <v>13.406600884654644</v>
      </c>
      <c r="D16" s="161"/>
      <c r="E16" s="160">
        <f>B16*100/58.78</f>
        <v>30.622660768969038</v>
      </c>
      <c r="F16" s="158">
        <v>10102130</v>
      </c>
      <c r="G16" s="159">
        <v>19</v>
      </c>
      <c r="H16" s="161">
        <f>+G16*I7/I8</f>
        <v>14.214909335124245</v>
      </c>
      <c r="I16" s="161"/>
      <c r="J16" s="160">
        <f>G16*100/59.56</f>
        <v>31.900604432505034</v>
      </c>
      <c r="K16" s="158">
        <v>10102130</v>
      </c>
      <c r="L16" s="159">
        <v>19</v>
      </c>
      <c r="M16" s="161">
        <f>+L16*N7/N8</f>
        <v>14.260269416264759</v>
      </c>
      <c r="N16" s="161"/>
      <c r="O16" s="160">
        <f>L16*100/60.13</f>
        <v>31.598203891568268</v>
      </c>
    </row>
    <row r="17" spans="1:15">
      <c r="A17" s="162" t="s">
        <v>654</v>
      </c>
      <c r="B17" s="163">
        <f>SUM(B11:B16)</f>
        <v>379693</v>
      </c>
      <c r="C17" s="163">
        <f>SUM(C11:C16)</f>
        <v>281781.1422252467</v>
      </c>
      <c r="D17" s="163">
        <f>SUM(D11:D15)</f>
        <v>1155.5979643765904</v>
      </c>
      <c r="E17" s="164">
        <f>E11+E12+E13+E14+E15+E16</f>
        <v>646269.29583270417</v>
      </c>
      <c r="F17" s="162" t="s">
        <v>654</v>
      </c>
      <c r="G17" s="163">
        <f>SUM(G11:G16)</f>
        <v>411953</v>
      </c>
      <c r="H17" s="163">
        <f>SUM(H11:H16)</f>
        <v>307092.59368703829</v>
      </c>
      <c r="I17" s="163">
        <f>SUM(I11:I15)</f>
        <v>1258.1340544717018</v>
      </c>
      <c r="J17" s="164">
        <f>J11+J12+J13+J14+J15+J16</f>
        <v>691989.75960070814</v>
      </c>
      <c r="K17" s="162" t="s">
        <v>654</v>
      </c>
      <c r="L17" s="163">
        <f>SUM(L11:L16)</f>
        <v>447111</v>
      </c>
      <c r="M17" s="163">
        <f>SUM(M11:M16)</f>
        <v>334365.5883918177</v>
      </c>
      <c r="N17" s="163">
        <f>SUM(N11:N15)</f>
        <v>1367.2636815920398</v>
      </c>
      <c r="O17" s="164">
        <f>O11+O12+O13+O14+O15+O16</f>
        <v>743924.13036474353</v>
      </c>
    </row>
    <row r="18" spans="1:15" ht="15.75" thickBot="1">
      <c r="A18" s="176" t="s">
        <v>655</v>
      </c>
      <c r="B18" s="165"/>
      <c r="C18" s="165"/>
      <c r="D18" s="166">
        <f>ROUND(C17+D17,0)</f>
        <v>282937</v>
      </c>
      <c r="E18" s="167">
        <f>+D18-C7</f>
        <v>4339</v>
      </c>
      <c r="F18" s="176" t="s">
        <v>655</v>
      </c>
      <c r="G18" s="165"/>
      <c r="H18" s="165"/>
      <c r="I18" s="166">
        <f>ROUND(H17+I17,0)</f>
        <v>308351</v>
      </c>
      <c r="J18" s="167">
        <f>+I18-H7</f>
        <v>4982</v>
      </c>
      <c r="K18" s="176" t="s">
        <v>655</v>
      </c>
      <c r="L18" s="165"/>
      <c r="M18" s="165"/>
      <c r="N18" s="166">
        <f>ROUND(M17+N17,0)</f>
        <v>335733</v>
      </c>
      <c r="O18" s="167">
        <f>+N18-M7</f>
        <v>6987</v>
      </c>
    </row>
    <row r="19" spans="1:15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</row>
    <row r="20" spans="1:15">
      <c r="A20" s="95" t="s">
        <v>656</v>
      </c>
      <c r="B20" s="168" t="s">
        <v>683</v>
      </c>
      <c r="C20" s="138"/>
      <c r="D20" s="138"/>
      <c r="E20" s="138"/>
      <c r="F20" s="138"/>
      <c r="G20" s="138"/>
      <c r="H20" s="138"/>
      <c r="I20" s="169"/>
      <c r="J20" s="138"/>
      <c r="K20" s="138"/>
      <c r="L20" s="71"/>
      <c r="M20" s="138"/>
      <c r="N20" s="71"/>
      <c r="O20" s="138"/>
    </row>
    <row r="21" spans="1:15">
      <c r="A21" s="95"/>
      <c r="B21" s="138"/>
      <c r="C21" s="71"/>
      <c r="D21" s="138"/>
      <c r="E21" s="138"/>
      <c r="F21" s="138"/>
      <c r="G21" s="138"/>
      <c r="H21" s="170" t="s">
        <v>684</v>
      </c>
      <c r="I21" s="169"/>
      <c r="J21" s="138"/>
      <c r="K21" s="71" t="s">
        <v>657</v>
      </c>
      <c r="L21" s="71"/>
      <c r="M21" s="138"/>
      <c r="N21" s="71"/>
      <c r="O21" s="138"/>
    </row>
    <row r="22" spans="1:15">
      <c r="A22" s="95"/>
      <c r="B22" s="171"/>
      <c r="C22" s="138"/>
      <c r="D22" s="138"/>
      <c r="E22" s="175" t="s">
        <v>662</v>
      </c>
      <c r="F22" s="172" t="s">
        <v>659</v>
      </c>
      <c r="G22" s="138"/>
      <c r="H22" s="172" t="s">
        <v>685</v>
      </c>
      <c r="I22" s="169"/>
      <c r="J22" s="138"/>
      <c r="K22" s="71" t="s">
        <v>658</v>
      </c>
      <c r="L22" s="71"/>
      <c r="M22" s="173"/>
      <c r="N22" s="71"/>
      <c r="O22" s="138"/>
    </row>
    <row r="23" spans="1:15">
      <c r="A23" s="95"/>
      <c r="B23" s="71"/>
      <c r="C23" s="138"/>
      <c r="D23" s="138"/>
      <c r="E23" s="175" t="s">
        <v>663</v>
      </c>
      <c r="F23" s="172" t="s">
        <v>661</v>
      </c>
      <c r="G23" s="138"/>
      <c r="H23" s="172" t="s">
        <v>686</v>
      </c>
      <c r="I23" s="138"/>
      <c r="J23" s="138"/>
      <c r="K23" s="71" t="s">
        <v>660</v>
      </c>
      <c r="L23" s="138"/>
      <c r="M23" s="138"/>
      <c r="N23" s="138"/>
      <c r="O23" s="138"/>
    </row>
    <row r="24" spans="1:15">
      <c r="A24" s="138"/>
      <c r="B24" s="138"/>
      <c r="C24" s="174"/>
      <c r="D24" s="174"/>
      <c r="E24" s="174"/>
      <c r="F24" s="169"/>
      <c r="G24" s="138"/>
      <c r="H24" s="138"/>
      <c r="I24" s="138"/>
      <c r="J24" s="138"/>
      <c r="K24" s="138"/>
      <c r="L24" s="138"/>
      <c r="M24" s="138"/>
      <c r="N24" s="138"/>
      <c r="O24" s="138"/>
    </row>
  </sheetData>
  <mergeCells count="6">
    <mergeCell ref="A6:A7"/>
    <mergeCell ref="F6:F7"/>
    <mergeCell ref="K6:K7"/>
    <mergeCell ref="A8:C8"/>
    <mergeCell ref="F8:H8"/>
    <mergeCell ref="K8:M8"/>
  </mergeCells>
  <pageMargins left="0" right="0" top="0.74803149606299213" bottom="0.35433070866141736" header="0.31496062992125984" footer="0.31496062992125984"/>
  <pageSetup paperSize="9" scale="80" firstPageNumber="111" orientation="landscape" useFirstPageNumber="1" r:id="rId1"/>
  <headerFooter>
    <oddFooter>&amp;R111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9"/>
  <sheetViews>
    <sheetView workbookViewId="0">
      <selection activeCell="C287" sqref="C287"/>
    </sheetView>
  </sheetViews>
  <sheetFormatPr defaultRowHeight="12.75" outlineLevelRow="1"/>
  <cols>
    <col min="1" max="1" width="61.7109375" style="115" customWidth="1"/>
    <col min="2" max="2" width="14.7109375" style="114" customWidth="1"/>
    <col min="3" max="3" width="15.7109375" style="114" customWidth="1"/>
    <col min="4" max="6" width="15.7109375" style="114" hidden="1" customWidth="1"/>
    <col min="7" max="7" width="15.7109375" style="114" customWidth="1"/>
    <col min="8" max="256" width="9.140625" style="114"/>
    <col min="257" max="257" width="61.7109375" style="114" customWidth="1"/>
    <col min="258" max="258" width="14.7109375" style="114" customWidth="1"/>
    <col min="259" max="259" width="15.7109375" style="114" customWidth="1"/>
    <col min="260" max="262" width="0" style="114" hidden="1" customWidth="1"/>
    <col min="263" max="263" width="15.7109375" style="114" customWidth="1"/>
    <col min="264" max="512" width="9.140625" style="114"/>
    <col min="513" max="513" width="61.7109375" style="114" customWidth="1"/>
    <col min="514" max="514" width="14.7109375" style="114" customWidth="1"/>
    <col min="515" max="515" width="15.7109375" style="114" customWidth="1"/>
    <col min="516" max="518" width="0" style="114" hidden="1" customWidth="1"/>
    <col min="519" max="519" width="15.7109375" style="114" customWidth="1"/>
    <col min="520" max="768" width="9.140625" style="114"/>
    <col min="769" max="769" width="61.7109375" style="114" customWidth="1"/>
    <col min="770" max="770" width="14.7109375" style="114" customWidth="1"/>
    <col min="771" max="771" width="15.7109375" style="114" customWidth="1"/>
    <col min="772" max="774" width="0" style="114" hidden="1" customWidth="1"/>
    <col min="775" max="775" width="15.7109375" style="114" customWidth="1"/>
    <col min="776" max="1024" width="9.140625" style="114"/>
    <col min="1025" max="1025" width="61.7109375" style="114" customWidth="1"/>
    <col min="1026" max="1026" width="14.7109375" style="114" customWidth="1"/>
    <col min="1027" max="1027" width="15.7109375" style="114" customWidth="1"/>
    <col min="1028" max="1030" width="0" style="114" hidden="1" customWidth="1"/>
    <col min="1031" max="1031" width="15.7109375" style="114" customWidth="1"/>
    <col min="1032" max="1280" width="9.140625" style="114"/>
    <col min="1281" max="1281" width="61.7109375" style="114" customWidth="1"/>
    <col min="1282" max="1282" width="14.7109375" style="114" customWidth="1"/>
    <col min="1283" max="1283" width="15.7109375" style="114" customWidth="1"/>
    <col min="1284" max="1286" width="0" style="114" hidden="1" customWidth="1"/>
    <col min="1287" max="1287" width="15.7109375" style="114" customWidth="1"/>
    <col min="1288" max="1536" width="9.140625" style="114"/>
    <col min="1537" max="1537" width="61.7109375" style="114" customWidth="1"/>
    <col min="1538" max="1538" width="14.7109375" style="114" customWidth="1"/>
    <col min="1539" max="1539" width="15.7109375" style="114" customWidth="1"/>
    <col min="1540" max="1542" width="0" style="114" hidden="1" customWidth="1"/>
    <col min="1543" max="1543" width="15.7109375" style="114" customWidth="1"/>
    <col min="1544" max="1792" width="9.140625" style="114"/>
    <col min="1793" max="1793" width="61.7109375" style="114" customWidth="1"/>
    <col min="1794" max="1794" width="14.7109375" style="114" customWidth="1"/>
    <col min="1795" max="1795" width="15.7109375" style="114" customWidth="1"/>
    <col min="1796" max="1798" width="0" style="114" hidden="1" customWidth="1"/>
    <col min="1799" max="1799" width="15.7109375" style="114" customWidth="1"/>
    <col min="1800" max="2048" width="9.140625" style="114"/>
    <col min="2049" max="2049" width="61.7109375" style="114" customWidth="1"/>
    <col min="2050" max="2050" width="14.7109375" style="114" customWidth="1"/>
    <col min="2051" max="2051" width="15.7109375" style="114" customWidth="1"/>
    <col min="2052" max="2054" width="0" style="114" hidden="1" customWidth="1"/>
    <col min="2055" max="2055" width="15.7109375" style="114" customWidth="1"/>
    <col min="2056" max="2304" width="9.140625" style="114"/>
    <col min="2305" max="2305" width="61.7109375" style="114" customWidth="1"/>
    <col min="2306" max="2306" width="14.7109375" style="114" customWidth="1"/>
    <col min="2307" max="2307" width="15.7109375" style="114" customWidth="1"/>
    <col min="2308" max="2310" width="0" style="114" hidden="1" customWidth="1"/>
    <col min="2311" max="2311" width="15.7109375" style="114" customWidth="1"/>
    <col min="2312" max="2560" width="9.140625" style="114"/>
    <col min="2561" max="2561" width="61.7109375" style="114" customWidth="1"/>
    <col min="2562" max="2562" width="14.7109375" style="114" customWidth="1"/>
    <col min="2563" max="2563" width="15.7109375" style="114" customWidth="1"/>
    <col min="2564" max="2566" width="0" style="114" hidden="1" customWidth="1"/>
    <col min="2567" max="2567" width="15.7109375" style="114" customWidth="1"/>
    <col min="2568" max="2816" width="9.140625" style="114"/>
    <col min="2817" max="2817" width="61.7109375" style="114" customWidth="1"/>
    <col min="2818" max="2818" width="14.7109375" style="114" customWidth="1"/>
    <col min="2819" max="2819" width="15.7109375" style="114" customWidth="1"/>
    <col min="2820" max="2822" width="0" style="114" hidden="1" customWidth="1"/>
    <col min="2823" max="2823" width="15.7109375" style="114" customWidth="1"/>
    <col min="2824" max="3072" width="9.140625" style="114"/>
    <col min="3073" max="3073" width="61.7109375" style="114" customWidth="1"/>
    <col min="3074" max="3074" width="14.7109375" style="114" customWidth="1"/>
    <col min="3075" max="3075" width="15.7109375" style="114" customWidth="1"/>
    <col min="3076" max="3078" width="0" style="114" hidden="1" customWidth="1"/>
    <col min="3079" max="3079" width="15.7109375" style="114" customWidth="1"/>
    <col min="3080" max="3328" width="9.140625" style="114"/>
    <col min="3329" max="3329" width="61.7109375" style="114" customWidth="1"/>
    <col min="3330" max="3330" width="14.7109375" style="114" customWidth="1"/>
    <col min="3331" max="3331" width="15.7109375" style="114" customWidth="1"/>
    <col min="3332" max="3334" width="0" style="114" hidden="1" customWidth="1"/>
    <col min="3335" max="3335" width="15.7109375" style="114" customWidth="1"/>
    <col min="3336" max="3584" width="9.140625" style="114"/>
    <col min="3585" max="3585" width="61.7109375" style="114" customWidth="1"/>
    <col min="3586" max="3586" width="14.7109375" style="114" customWidth="1"/>
    <col min="3587" max="3587" width="15.7109375" style="114" customWidth="1"/>
    <col min="3588" max="3590" width="0" style="114" hidden="1" customWidth="1"/>
    <col min="3591" max="3591" width="15.7109375" style="114" customWidth="1"/>
    <col min="3592" max="3840" width="9.140625" style="114"/>
    <col min="3841" max="3841" width="61.7109375" style="114" customWidth="1"/>
    <col min="3842" max="3842" width="14.7109375" style="114" customWidth="1"/>
    <col min="3843" max="3843" width="15.7109375" style="114" customWidth="1"/>
    <col min="3844" max="3846" width="0" style="114" hidden="1" customWidth="1"/>
    <col min="3847" max="3847" width="15.7109375" style="114" customWidth="1"/>
    <col min="3848" max="4096" width="9.140625" style="114"/>
    <col min="4097" max="4097" width="61.7109375" style="114" customWidth="1"/>
    <col min="4098" max="4098" width="14.7109375" style="114" customWidth="1"/>
    <col min="4099" max="4099" width="15.7109375" style="114" customWidth="1"/>
    <col min="4100" max="4102" width="0" style="114" hidden="1" customWidth="1"/>
    <col min="4103" max="4103" width="15.7109375" style="114" customWidth="1"/>
    <col min="4104" max="4352" width="9.140625" style="114"/>
    <col min="4353" max="4353" width="61.7109375" style="114" customWidth="1"/>
    <col min="4354" max="4354" width="14.7109375" style="114" customWidth="1"/>
    <col min="4355" max="4355" width="15.7109375" style="114" customWidth="1"/>
    <col min="4356" max="4358" width="0" style="114" hidden="1" customWidth="1"/>
    <col min="4359" max="4359" width="15.7109375" style="114" customWidth="1"/>
    <col min="4360" max="4608" width="9.140625" style="114"/>
    <col min="4609" max="4609" width="61.7109375" style="114" customWidth="1"/>
    <col min="4610" max="4610" width="14.7109375" style="114" customWidth="1"/>
    <col min="4611" max="4611" width="15.7109375" style="114" customWidth="1"/>
    <col min="4612" max="4614" width="0" style="114" hidden="1" customWidth="1"/>
    <col min="4615" max="4615" width="15.7109375" style="114" customWidth="1"/>
    <col min="4616" max="4864" width="9.140625" style="114"/>
    <col min="4865" max="4865" width="61.7109375" style="114" customWidth="1"/>
    <col min="4866" max="4866" width="14.7109375" style="114" customWidth="1"/>
    <col min="4867" max="4867" width="15.7109375" style="114" customWidth="1"/>
    <col min="4868" max="4870" width="0" style="114" hidden="1" customWidth="1"/>
    <col min="4871" max="4871" width="15.7109375" style="114" customWidth="1"/>
    <col min="4872" max="5120" width="9.140625" style="114"/>
    <col min="5121" max="5121" width="61.7109375" style="114" customWidth="1"/>
    <col min="5122" max="5122" width="14.7109375" style="114" customWidth="1"/>
    <col min="5123" max="5123" width="15.7109375" style="114" customWidth="1"/>
    <col min="5124" max="5126" width="0" style="114" hidden="1" customWidth="1"/>
    <col min="5127" max="5127" width="15.7109375" style="114" customWidth="1"/>
    <col min="5128" max="5376" width="9.140625" style="114"/>
    <col min="5377" max="5377" width="61.7109375" style="114" customWidth="1"/>
    <col min="5378" max="5378" width="14.7109375" style="114" customWidth="1"/>
    <col min="5379" max="5379" width="15.7109375" style="114" customWidth="1"/>
    <col min="5380" max="5382" width="0" style="114" hidden="1" customWidth="1"/>
    <col min="5383" max="5383" width="15.7109375" style="114" customWidth="1"/>
    <col min="5384" max="5632" width="9.140625" style="114"/>
    <col min="5633" max="5633" width="61.7109375" style="114" customWidth="1"/>
    <col min="5634" max="5634" width="14.7109375" style="114" customWidth="1"/>
    <col min="5635" max="5635" width="15.7109375" style="114" customWidth="1"/>
    <col min="5636" max="5638" width="0" style="114" hidden="1" customWidth="1"/>
    <col min="5639" max="5639" width="15.7109375" style="114" customWidth="1"/>
    <col min="5640" max="5888" width="9.140625" style="114"/>
    <col min="5889" max="5889" width="61.7109375" style="114" customWidth="1"/>
    <col min="5890" max="5890" width="14.7109375" style="114" customWidth="1"/>
    <col min="5891" max="5891" width="15.7109375" style="114" customWidth="1"/>
    <col min="5892" max="5894" width="0" style="114" hidden="1" customWidth="1"/>
    <col min="5895" max="5895" width="15.7109375" style="114" customWidth="1"/>
    <col min="5896" max="6144" width="9.140625" style="114"/>
    <col min="6145" max="6145" width="61.7109375" style="114" customWidth="1"/>
    <col min="6146" max="6146" width="14.7109375" style="114" customWidth="1"/>
    <col min="6147" max="6147" width="15.7109375" style="114" customWidth="1"/>
    <col min="6148" max="6150" width="0" style="114" hidden="1" customWidth="1"/>
    <col min="6151" max="6151" width="15.7109375" style="114" customWidth="1"/>
    <col min="6152" max="6400" width="9.140625" style="114"/>
    <col min="6401" max="6401" width="61.7109375" style="114" customWidth="1"/>
    <col min="6402" max="6402" width="14.7109375" style="114" customWidth="1"/>
    <col min="6403" max="6403" width="15.7109375" style="114" customWidth="1"/>
    <col min="6404" max="6406" width="0" style="114" hidden="1" customWidth="1"/>
    <col min="6407" max="6407" width="15.7109375" style="114" customWidth="1"/>
    <col min="6408" max="6656" width="9.140625" style="114"/>
    <col min="6657" max="6657" width="61.7109375" style="114" customWidth="1"/>
    <col min="6658" max="6658" width="14.7109375" style="114" customWidth="1"/>
    <col min="6659" max="6659" width="15.7109375" style="114" customWidth="1"/>
    <col min="6660" max="6662" width="0" style="114" hidden="1" customWidth="1"/>
    <col min="6663" max="6663" width="15.7109375" style="114" customWidth="1"/>
    <col min="6664" max="6912" width="9.140625" style="114"/>
    <col min="6913" max="6913" width="61.7109375" style="114" customWidth="1"/>
    <col min="6914" max="6914" width="14.7109375" style="114" customWidth="1"/>
    <col min="6915" max="6915" width="15.7109375" style="114" customWidth="1"/>
    <col min="6916" max="6918" width="0" style="114" hidden="1" customWidth="1"/>
    <col min="6919" max="6919" width="15.7109375" style="114" customWidth="1"/>
    <col min="6920" max="7168" width="9.140625" style="114"/>
    <col min="7169" max="7169" width="61.7109375" style="114" customWidth="1"/>
    <col min="7170" max="7170" width="14.7109375" style="114" customWidth="1"/>
    <col min="7171" max="7171" width="15.7109375" style="114" customWidth="1"/>
    <col min="7172" max="7174" width="0" style="114" hidden="1" customWidth="1"/>
    <col min="7175" max="7175" width="15.7109375" style="114" customWidth="1"/>
    <col min="7176" max="7424" width="9.140625" style="114"/>
    <col min="7425" max="7425" width="61.7109375" style="114" customWidth="1"/>
    <col min="7426" max="7426" width="14.7109375" style="114" customWidth="1"/>
    <col min="7427" max="7427" width="15.7109375" style="114" customWidth="1"/>
    <col min="7428" max="7430" width="0" style="114" hidden="1" customWidth="1"/>
    <col min="7431" max="7431" width="15.7109375" style="114" customWidth="1"/>
    <col min="7432" max="7680" width="9.140625" style="114"/>
    <col min="7681" max="7681" width="61.7109375" style="114" customWidth="1"/>
    <col min="7682" max="7682" width="14.7109375" style="114" customWidth="1"/>
    <col min="7683" max="7683" width="15.7109375" style="114" customWidth="1"/>
    <col min="7684" max="7686" width="0" style="114" hidden="1" customWidth="1"/>
    <col min="7687" max="7687" width="15.7109375" style="114" customWidth="1"/>
    <col min="7688" max="7936" width="9.140625" style="114"/>
    <col min="7937" max="7937" width="61.7109375" style="114" customWidth="1"/>
    <col min="7938" max="7938" width="14.7109375" style="114" customWidth="1"/>
    <col min="7939" max="7939" width="15.7109375" style="114" customWidth="1"/>
    <col min="7940" max="7942" width="0" style="114" hidden="1" customWidth="1"/>
    <col min="7943" max="7943" width="15.7109375" style="114" customWidth="1"/>
    <col min="7944" max="8192" width="9.140625" style="114"/>
    <col min="8193" max="8193" width="61.7109375" style="114" customWidth="1"/>
    <col min="8194" max="8194" width="14.7109375" style="114" customWidth="1"/>
    <col min="8195" max="8195" width="15.7109375" style="114" customWidth="1"/>
    <col min="8196" max="8198" width="0" style="114" hidden="1" customWidth="1"/>
    <col min="8199" max="8199" width="15.7109375" style="114" customWidth="1"/>
    <col min="8200" max="8448" width="9.140625" style="114"/>
    <col min="8449" max="8449" width="61.7109375" style="114" customWidth="1"/>
    <col min="8450" max="8450" width="14.7109375" style="114" customWidth="1"/>
    <col min="8451" max="8451" width="15.7109375" style="114" customWidth="1"/>
    <col min="8452" max="8454" width="0" style="114" hidden="1" customWidth="1"/>
    <col min="8455" max="8455" width="15.7109375" style="114" customWidth="1"/>
    <col min="8456" max="8704" width="9.140625" style="114"/>
    <col min="8705" max="8705" width="61.7109375" style="114" customWidth="1"/>
    <col min="8706" max="8706" width="14.7109375" style="114" customWidth="1"/>
    <col min="8707" max="8707" width="15.7109375" style="114" customWidth="1"/>
    <col min="8708" max="8710" width="0" style="114" hidden="1" customWidth="1"/>
    <col min="8711" max="8711" width="15.7109375" style="114" customWidth="1"/>
    <col min="8712" max="8960" width="9.140625" style="114"/>
    <col min="8961" max="8961" width="61.7109375" style="114" customWidth="1"/>
    <col min="8962" max="8962" width="14.7109375" style="114" customWidth="1"/>
    <col min="8963" max="8963" width="15.7109375" style="114" customWidth="1"/>
    <col min="8964" max="8966" width="0" style="114" hidden="1" customWidth="1"/>
    <col min="8967" max="8967" width="15.7109375" style="114" customWidth="1"/>
    <col min="8968" max="9216" width="9.140625" style="114"/>
    <col min="9217" max="9217" width="61.7109375" style="114" customWidth="1"/>
    <col min="9218" max="9218" width="14.7109375" style="114" customWidth="1"/>
    <col min="9219" max="9219" width="15.7109375" style="114" customWidth="1"/>
    <col min="9220" max="9222" width="0" style="114" hidden="1" customWidth="1"/>
    <col min="9223" max="9223" width="15.7109375" style="114" customWidth="1"/>
    <col min="9224" max="9472" width="9.140625" style="114"/>
    <col min="9473" max="9473" width="61.7109375" style="114" customWidth="1"/>
    <col min="9474" max="9474" width="14.7109375" style="114" customWidth="1"/>
    <col min="9475" max="9475" width="15.7109375" style="114" customWidth="1"/>
    <col min="9476" max="9478" width="0" style="114" hidden="1" customWidth="1"/>
    <col min="9479" max="9479" width="15.7109375" style="114" customWidth="1"/>
    <col min="9480" max="9728" width="9.140625" style="114"/>
    <col min="9729" max="9729" width="61.7109375" style="114" customWidth="1"/>
    <col min="9730" max="9730" width="14.7109375" style="114" customWidth="1"/>
    <col min="9731" max="9731" width="15.7109375" style="114" customWidth="1"/>
    <col min="9732" max="9734" width="0" style="114" hidden="1" customWidth="1"/>
    <col min="9735" max="9735" width="15.7109375" style="114" customWidth="1"/>
    <col min="9736" max="9984" width="9.140625" style="114"/>
    <col min="9985" max="9985" width="61.7109375" style="114" customWidth="1"/>
    <col min="9986" max="9986" width="14.7109375" style="114" customWidth="1"/>
    <col min="9987" max="9987" width="15.7109375" style="114" customWidth="1"/>
    <col min="9988" max="9990" width="0" style="114" hidden="1" customWidth="1"/>
    <col min="9991" max="9991" width="15.7109375" style="114" customWidth="1"/>
    <col min="9992" max="10240" width="9.140625" style="114"/>
    <col min="10241" max="10241" width="61.7109375" style="114" customWidth="1"/>
    <col min="10242" max="10242" width="14.7109375" style="114" customWidth="1"/>
    <col min="10243" max="10243" width="15.7109375" style="114" customWidth="1"/>
    <col min="10244" max="10246" width="0" style="114" hidden="1" customWidth="1"/>
    <col min="10247" max="10247" width="15.7109375" style="114" customWidth="1"/>
    <col min="10248" max="10496" width="9.140625" style="114"/>
    <col min="10497" max="10497" width="61.7109375" style="114" customWidth="1"/>
    <col min="10498" max="10498" width="14.7109375" style="114" customWidth="1"/>
    <col min="10499" max="10499" width="15.7109375" style="114" customWidth="1"/>
    <col min="10500" max="10502" width="0" style="114" hidden="1" customWidth="1"/>
    <col min="10503" max="10503" width="15.7109375" style="114" customWidth="1"/>
    <col min="10504" max="10752" width="9.140625" style="114"/>
    <col min="10753" max="10753" width="61.7109375" style="114" customWidth="1"/>
    <col min="10754" max="10754" width="14.7109375" style="114" customWidth="1"/>
    <col min="10755" max="10755" width="15.7109375" style="114" customWidth="1"/>
    <col min="10756" max="10758" width="0" style="114" hidden="1" customWidth="1"/>
    <col min="10759" max="10759" width="15.7109375" style="114" customWidth="1"/>
    <col min="10760" max="11008" width="9.140625" style="114"/>
    <col min="11009" max="11009" width="61.7109375" style="114" customWidth="1"/>
    <col min="11010" max="11010" width="14.7109375" style="114" customWidth="1"/>
    <col min="11011" max="11011" width="15.7109375" style="114" customWidth="1"/>
    <col min="11012" max="11014" width="0" style="114" hidden="1" customWidth="1"/>
    <col min="11015" max="11015" width="15.7109375" style="114" customWidth="1"/>
    <col min="11016" max="11264" width="9.140625" style="114"/>
    <col min="11265" max="11265" width="61.7109375" style="114" customWidth="1"/>
    <col min="11266" max="11266" width="14.7109375" style="114" customWidth="1"/>
    <col min="11267" max="11267" width="15.7109375" style="114" customWidth="1"/>
    <col min="11268" max="11270" width="0" style="114" hidden="1" customWidth="1"/>
    <col min="11271" max="11271" width="15.7109375" style="114" customWidth="1"/>
    <col min="11272" max="11520" width="9.140625" style="114"/>
    <col min="11521" max="11521" width="61.7109375" style="114" customWidth="1"/>
    <col min="11522" max="11522" width="14.7109375" style="114" customWidth="1"/>
    <col min="11523" max="11523" width="15.7109375" style="114" customWidth="1"/>
    <col min="11524" max="11526" width="0" style="114" hidden="1" customWidth="1"/>
    <col min="11527" max="11527" width="15.7109375" style="114" customWidth="1"/>
    <col min="11528" max="11776" width="9.140625" style="114"/>
    <col min="11777" max="11777" width="61.7109375" style="114" customWidth="1"/>
    <col min="11778" max="11778" width="14.7109375" style="114" customWidth="1"/>
    <col min="11779" max="11779" width="15.7109375" style="114" customWidth="1"/>
    <col min="11780" max="11782" width="0" style="114" hidden="1" customWidth="1"/>
    <col min="11783" max="11783" width="15.7109375" style="114" customWidth="1"/>
    <col min="11784" max="12032" width="9.140625" style="114"/>
    <col min="12033" max="12033" width="61.7109375" style="114" customWidth="1"/>
    <col min="12034" max="12034" width="14.7109375" style="114" customWidth="1"/>
    <col min="12035" max="12035" width="15.7109375" style="114" customWidth="1"/>
    <col min="12036" max="12038" width="0" style="114" hidden="1" customWidth="1"/>
    <col min="12039" max="12039" width="15.7109375" style="114" customWidth="1"/>
    <col min="12040" max="12288" width="9.140625" style="114"/>
    <col min="12289" max="12289" width="61.7109375" style="114" customWidth="1"/>
    <col min="12290" max="12290" width="14.7109375" style="114" customWidth="1"/>
    <col min="12291" max="12291" width="15.7109375" style="114" customWidth="1"/>
    <col min="12292" max="12294" width="0" style="114" hidden="1" customWidth="1"/>
    <col min="12295" max="12295" width="15.7109375" style="114" customWidth="1"/>
    <col min="12296" max="12544" width="9.140625" style="114"/>
    <col min="12545" max="12545" width="61.7109375" style="114" customWidth="1"/>
    <col min="12546" max="12546" width="14.7109375" style="114" customWidth="1"/>
    <col min="12547" max="12547" width="15.7109375" style="114" customWidth="1"/>
    <col min="12548" max="12550" width="0" style="114" hidden="1" customWidth="1"/>
    <col min="12551" max="12551" width="15.7109375" style="114" customWidth="1"/>
    <col min="12552" max="12800" width="9.140625" style="114"/>
    <col min="12801" max="12801" width="61.7109375" style="114" customWidth="1"/>
    <col min="12802" max="12802" width="14.7109375" style="114" customWidth="1"/>
    <col min="12803" max="12803" width="15.7109375" style="114" customWidth="1"/>
    <col min="12804" max="12806" width="0" style="114" hidden="1" customWidth="1"/>
    <col min="12807" max="12807" width="15.7109375" style="114" customWidth="1"/>
    <col min="12808" max="13056" width="9.140625" style="114"/>
    <col min="13057" max="13057" width="61.7109375" style="114" customWidth="1"/>
    <col min="13058" max="13058" width="14.7109375" style="114" customWidth="1"/>
    <col min="13059" max="13059" width="15.7109375" style="114" customWidth="1"/>
    <col min="13060" max="13062" width="0" style="114" hidden="1" customWidth="1"/>
    <col min="13063" max="13063" width="15.7109375" style="114" customWidth="1"/>
    <col min="13064" max="13312" width="9.140625" style="114"/>
    <col min="13313" max="13313" width="61.7109375" style="114" customWidth="1"/>
    <col min="13314" max="13314" width="14.7109375" style="114" customWidth="1"/>
    <col min="13315" max="13315" width="15.7109375" style="114" customWidth="1"/>
    <col min="13316" max="13318" width="0" style="114" hidden="1" customWidth="1"/>
    <col min="13319" max="13319" width="15.7109375" style="114" customWidth="1"/>
    <col min="13320" max="13568" width="9.140625" style="114"/>
    <col min="13569" max="13569" width="61.7109375" style="114" customWidth="1"/>
    <col min="13570" max="13570" width="14.7109375" style="114" customWidth="1"/>
    <col min="13571" max="13571" width="15.7109375" style="114" customWidth="1"/>
    <col min="13572" max="13574" width="0" style="114" hidden="1" customWidth="1"/>
    <col min="13575" max="13575" width="15.7109375" style="114" customWidth="1"/>
    <col min="13576" max="13824" width="9.140625" style="114"/>
    <col min="13825" max="13825" width="61.7109375" style="114" customWidth="1"/>
    <col min="13826" max="13826" width="14.7109375" style="114" customWidth="1"/>
    <col min="13827" max="13827" width="15.7109375" style="114" customWidth="1"/>
    <col min="13828" max="13830" width="0" style="114" hidden="1" customWidth="1"/>
    <col min="13831" max="13831" width="15.7109375" style="114" customWidth="1"/>
    <col min="13832" max="14080" width="9.140625" style="114"/>
    <col min="14081" max="14081" width="61.7109375" style="114" customWidth="1"/>
    <col min="14082" max="14082" width="14.7109375" style="114" customWidth="1"/>
    <col min="14083" max="14083" width="15.7109375" style="114" customWidth="1"/>
    <col min="14084" max="14086" width="0" style="114" hidden="1" customWidth="1"/>
    <col min="14087" max="14087" width="15.7109375" style="114" customWidth="1"/>
    <col min="14088" max="14336" width="9.140625" style="114"/>
    <col min="14337" max="14337" width="61.7109375" style="114" customWidth="1"/>
    <col min="14338" max="14338" width="14.7109375" style="114" customWidth="1"/>
    <col min="14339" max="14339" width="15.7109375" style="114" customWidth="1"/>
    <col min="14340" max="14342" width="0" style="114" hidden="1" customWidth="1"/>
    <col min="14343" max="14343" width="15.7109375" style="114" customWidth="1"/>
    <col min="14344" max="14592" width="9.140625" style="114"/>
    <col min="14593" max="14593" width="61.7109375" style="114" customWidth="1"/>
    <col min="14594" max="14594" width="14.7109375" style="114" customWidth="1"/>
    <col min="14595" max="14595" width="15.7109375" style="114" customWidth="1"/>
    <col min="14596" max="14598" width="0" style="114" hidden="1" customWidth="1"/>
    <col min="14599" max="14599" width="15.7109375" style="114" customWidth="1"/>
    <col min="14600" max="14848" width="9.140625" style="114"/>
    <col min="14849" max="14849" width="61.7109375" style="114" customWidth="1"/>
    <col min="14850" max="14850" width="14.7109375" style="114" customWidth="1"/>
    <col min="14851" max="14851" width="15.7109375" style="114" customWidth="1"/>
    <col min="14852" max="14854" width="0" style="114" hidden="1" customWidth="1"/>
    <col min="14855" max="14855" width="15.7109375" style="114" customWidth="1"/>
    <col min="14856" max="15104" width="9.140625" style="114"/>
    <col min="15105" max="15105" width="61.7109375" style="114" customWidth="1"/>
    <col min="15106" max="15106" width="14.7109375" style="114" customWidth="1"/>
    <col min="15107" max="15107" width="15.7109375" style="114" customWidth="1"/>
    <col min="15108" max="15110" width="0" style="114" hidden="1" customWidth="1"/>
    <col min="15111" max="15111" width="15.7109375" style="114" customWidth="1"/>
    <col min="15112" max="15360" width="9.140625" style="114"/>
    <col min="15361" max="15361" width="61.7109375" style="114" customWidth="1"/>
    <col min="15362" max="15362" width="14.7109375" style="114" customWidth="1"/>
    <col min="15363" max="15363" width="15.7109375" style="114" customWidth="1"/>
    <col min="15364" max="15366" width="0" style="114" hidden="1" customWidth="1"/>
    <col min="15367" max="15367" width="15.7109375" style="114" customWidth="1"/>
    <col min="15368" max="15616" width="9.140625" style="114"/>
    <col min="15617" max="15617" width="61.7109375" style="114" customWidth="1"/>
    <col min="15618" max="15618" width="14.7109375" style="114" customWidth="1"/>
    <col min="15619" max="15619" width="15.7109375" style="114" customWidth="1"/>
    <col min="15620" max="15622" width="0" style="114" hidden="1" customWidth="1"/>
    <col min="15623" max="15623" width="15.7109375" style="114" customWidth="1"/>
    <col min="15624" max="15872" width="9.140625" style="114"/>
    <col min="15873" max="15873" width="61.7109375" style="114" customWidth="1"/>
    <col min="15874" max="15874" width="14.7109375" style="114" customWidth="1"/>
    <col min="15875" max="15875" width="15.7109375" style="114" customWidth="1"/>
    <col min="15876" max="15878" width="0" style="114" hidden="1" customWidth="1"/>
    <col min="15879" max="15879" width="15.7109375" style="114" customWidth="1"/>
    <col min="15880" max="16128" width="9.140625" style="114"/>
    <col min="16129" max="16129" width="61.7109375" style="114" customWidth="1"/>
    <col min="16130" max="16130" width="14.7109375" style="114" customWidth="1"/>
    <col min="16131" max="16131" width="15.7109375" style="114" customWidth="1"/>
    <col min="16132" max="16134" width="0" style="114" hidden="1" customWidth="1"/>
    <col min="16135" max="16135" width="15.7109375" style="114" customWidth="1"/>
    <col min="16136" max="16384" width="9.140625" style="114"/>
  </cols>
  <sheetData>
    <row r="1" spans="1:7">
      <c r="A1" s="190" t="s">
        <v>25</v>
      </c>
      <c r="B1" s="190"/>
      <c r="C1" s="190"/>
      <c r="D1" s="190"/>
      <c r="E1" s="190"/>
      <c r="F1" s="191"/>
      <c r="G1" s="191"/>
    </row>
    <row r="2" spans="1:7">
      <c r="B2" s="116" t="s">
        <v>26</v>
      </c>
      <c r="C2" s="95">
        <v>2024</v>
      </c>
    </row>
    <row r="3" spans="1:7">
      <c r="B3" s="116" t="s">
        <v>27</v>
      </c>
      <c r="C3" s="114" t="s">
        <v>28</v>
      </c>
    </row>
    <row r="4" spans="1:7">
      <c r="B4" s="116" t="s">
        <v>29</v>
      </c>
      <c r="C4" s="117" t="s">
        <v>30</v>
      </c>
    </row>
    <row r="5" spans="1:7">
      <c r="B5" s="116" t="s">
        <v>31</v>
      </c>
      <c r="C5" s="118" t="s">
        <v>13</v>
      </c>
    </row>
    <row r="6" spans="1:7">
      <c r="A6" s="192" t="s">
        <v>32</v>
      </c>
      <c r="B6" s="193"/>
      <c r="C6" s="194" t="s">
        <v>33</v>
      </c>
      <c r="D6" s="195"/>
      <c r="E6" s="195"/>
      <c r="F6" s="195"/>
      <c r="G6" s="195"/>
    </row>
    <row r="7" spans="1:7" ht="25.5">
      <c r="A7" s="112" t="s">
        <v>34</v>
      </c>
      <c r="B7" s="119" t="s">
        <v>19</v>
      </c>
      <c r="C7" s="119" t="s">
        <v>515</v>
      </c>
      <c r="D7" s="120" t="s">
        <v>35</v>
      </c>
      <c r="E7" s="120" t="s">
        <v>36</v>
      </c>
      <c r="F7" s="120" t="s">
        <v>37</v>
      </c>
      <c r="G7" s="121" t="s">
        <v>516</v>
      </c>
    </row>
    <row r="8" spans="1:7" ht="23.25" hidden="1" customHeight="1" outlineLevel="1">
      <c r="A8" s="122" t="s">
        <v>39</v>
      </c>
      <c r="B8" s="123" t="s">
        <v>40</v>
      </c>
      <c r="C8" s="124">
        <v>59647.333333333336</v>
      </c>
      <c r="D8" s="124">
        <v>76104</v>
      </c>
      <c r="E8" s="124">
        <v>147270</v>
      </c>
      <c r="F8" s="124">
        <v>210614</v>
      </c>
      <c r="G8" s="124">
        <f t="shared" ref="G8:G13" si="0">+C8*12</f>
        <v>715768</v>
      </c>
    </row>
    <row r="9" spans="1:7" hidden="1" outlineLevel="1">
      <c r="A9" s="122" t="s">
        <v>41</v>
      </c>
      <c r="B9" s="123" t="s">
        <v>42</v>
      </c>
      <c r="C9" s="124">
        <v>391847.5</v>
      </c>
      <c r="D9" s="124">
        <v>696233</v>
      </c>
      <c r="E9" s="124">
        <v>1153422</v>
      </c>
      <c r="F9" s="124">
        <v>1197663</v>
      </c>
      <c r="G9" s="124">
        <f>+C9*12*1.185</f>
        <v>5572071.4500000002</v>
      </c>
    </row>
    <row r="10" spans="1:7" hidden="1" outlineLevel="1">
      <c r="A10" s="122" t="s">
        <v>343</v>
      </c>
      <c r="B10" s="123" t="s">
        <v>45</v>
      </c>
      <c r="C10" s="124">
        <v>130455.16666666667</v>
      </c>
      <c r="D10" s="124">
        <v>557966</v>
      </c>
      <c r="E10" s="124">
        <v>331828</v>
      </c>
      <c r="F10" s="124">
        <v>450903</v>
      </c>
      <c r="G10" s="124">
        <f t="shared" si="0"/>
        <v>1565462</v>
      </c>
    </row>
    <row r="11" spans="1:7" hidden="1" outlineLevel="1">
      <c r="A11" s="122" t="s">
        <v>344</v>
      </c>
      <c r="B11" s="123" t="s">
        <v>46</v>
      </c>
      <c r="C11" s="124">
        <v>67599.166666666672</v>
      </c>
      <c r="D11" s="124">
        <v>108236</v>
      </c>
      <c r="E11" s="124">
        <v>132874</v>
      </c>
      <c r="F11" s="124">
        <v>272721</v>
      </c>
      <c r="G11" s="124">
        <f t="shared" si="0"/>
        <v>811190</v>
      </c>
    </row>
    <row r="12" spans="1:7" hidden="1" outlineLevel="1">
      <c r="A12" s="122" t="s">
        <v>345</v>
      </c>
      <c r="B12" s="123" t="s">
        <v>47</v>
      </c>
      <c r="C12" s="124">
        <v>62333.5</v>
      </c>
      <c r="D12" s="124">
        <v>113409</v>
      </c>
      <c r="E12" s="124">
        <v>172356</v>
      </c>
      <c r="F12" s="124">
        <v>201645</v>
      </c>
      <c r="G12" s="124">
        <f t="shared" si="0"/>
        <v>748002</v>
      </c>
    </row>
    <row r="13" spans="1:7" hidden="1" outlineLevel="1">
      <c r="A13" s="122" t="s">
        <v>346</v>
      </c>
      <c r="B13" s="123" t="s">
        <v>50</v>
      </c>
      <c r="C13" s="124">
        <v>679342.6</v>
      </c>
      <c r="D13" s="124">
        <v>768864</v>
      </c>
      <c r="E13" s="124">
        <v>3348301</v>
      </c>
      <c r="F13" s="124">
        <v>1841814</v>
      </c>
      <c r="G13" s="124">
        <f t="shared" si="0"/>
        <v>8152111.1999999993</v>
      </c>
    </row>
    <row r="14" spans="1:7" hidden="1" outlineLevel="1">
      <c r="A14" s="125" t="s">
        <v>460</v>
      </c>
      <c r="B14" s="126" t="s">
        <v>22</v>
      </c>
      <c r="C14" s="127">
        <v>3240080.75</v>
      </c>
      <c r="D14" s="127">
        <v>677969.05</v>
      </c>
      <c r="E14" s="127">
        <v>7018096.71</v>
      </c>
      <c r="F14" s="127">
        <v>9790428</v>
      </c>
      <c r="G14" s="127">
        <f>+C14*12*1.063</f>
        <v>41330470.046999998</v>
      </c>
    </row>
    <row r="15" spans="1:7" hidden="1" outlineLevel="1">
      <c r="A15" s="122" t="s">
        <v>517</v>
      </c>
      <c r="B15" s="123" t="s">
        <v>43</v>
      </c>
      <c r="C15" s="124">
        <v>4347.8</v>
      </c>
      <c r="D15" s="124">
        <v>6949</v>
      </c>
      <c r="E15" s="124">
        <v>14898</v>
      </c>
      <c r="F15" s="124">
        <v>12834</v>
      </c>
      <c r="G15" s="124">
        <f t="shared" ref="G15:G22" si="1">+C15*12</f>
        <v>52173.600000000006</v>
      </c>
    </row>
    <row r="16" spans="1:7" hidden="1" outlineLevel="1">
      <c r="A16" s="122" t="s">
        <v>518</v>
      </c>
      <c r="B16" s="123" t="s">
        <v>44</v>
      </c>
      <c r="C16" s="124">
        <v>11844.5</v>
      </c>
      <c r="D16" s="124">
        <v>12788</v>
      </c>
      <c r="E16" s="124">
        <v>34722</v>
      </c>
      <c r="F16" s="124">
        <v>36345</v>
      </c>
      <c r="G16" s="124">
        <f t="shared" si="1"/>
        <v>142134</v>
      </c>
    </row>
    <row r="17" spans="1:7" hidden="1" outlineLevel="1">
      <c r="A17" s="122" t="s">
        <v>347</v>
      </c>
      <c r="B17" s="123" t="s">
        <v>51</v>
      </c>
      <c r="C17" s="124">
        <v>21659</v>
      </c>
      <c r="D17" s="124">
        <v>47202</v>
      </c>
      <c r="E17" s="124">
        <v>74310</v>
      </c>
      <c r="F17" s="124">
        <v>55644</v>
      </c>
      <c r="G17" s="124">
        <f t="shared" si="1"/>
        <v>259908</v>
      </c>
    </row>
    <row r="18" spans="1:7" hidden="1" outlineLevel="1">
      <c r="A18" s="122" t="s">
        <v>348</v>
      </c>
      <c r="B18" s="123" t="s">
        <v>52</v>
      </c>
      <c r="C18" s="124">
        <v>136920.5</v>
      </c>
      <c r="D18" s="124">
        <v>32203</v>
      </c>
      <c r="E18" s="124">
        <v>624372</v>
      </c>
      <c r="F18" s="124">
        <v>197151</v>
      </c>
      <c r="G18" s="124">
        <f t="shared" si="1"/>
        <v>1643046</v>
      </c>
    </row>
    <row r="19" spans="1:7" hidden="1" outlineLevel="1">
      <c r="A19" s="122" t="s">
        <v>349</v>
      </c>
      <c r="B19" s="123" t="s">
        <v>53</v>
      </c>
      <c r="C19" s="124">
        <v>226651.33333333334</v>
      </c>
      <c r="D19" s="124">
        <v>371345</v>
      </c>
      <c r="E19" s="124">
        <v>655215</v>
      </c>
      <c r="F19" s="124">
        <v>704693</v>
      </c>
      <c r="G19" s="124">
        <f t="shared" si="1"/>
        <v>2719816</v>
      </c>
    </row>
    <row r="20" spans="1:7" hidden="1" outlineLevel="1">
      <c r="A20" s="122" t="s">
        <v>350</v>
      </c>
      <c r="B20" s="123" t="s">
        <v>54</v>
      </c>
      <c r="C20" s="124">
        <v>928267.66666666663</v>
      </c>
      <c r="D20" s="124">
        <v>1480419</v>
      </c>
      <c r="E20" s="124">
        <v>2608911</v>
      </c>
      <c r="F20" s="124">
        <v>2960695</v>
      </c>
      <c r="G20" s="124">
        <f>+C20*12*1.08</f>
        <v>12030348.960000001</v>
      </c>
    </row>
    <row r="21" spans="1:7" hidden="1" outlineLevel="1">
      <c r="A21" s="122" t="s">
        <v>519</v>
      </c>
      <c r="B21" s="123" t="s">
        <v>48</v>
      </c>
      <c r="C21" s="124">
        <v>11202.333333333334</v>
      </c>
      <c r="D21" s="124">
        <v>21604</v>
      </c>
      <c r="E21" s="124">
        <v>30728</v>
      </c>
      <c r="F21" s="124">
        <v>36486</v>
      </c>
      <c r="G21" s="124">
        <f t="shared" si="1"/>
        <v>134428</v>
      </c>
    </row>
    <row r="22" spans="1:7" hidden="1" outlineLevel="1">
      <c r="A22" s="122" t="s">
        <v>520</v>
      </c>
      <c r="B22" s="123" t="s">
        <v>49</v>
      </c>
      <c r="C22" s="124">
        <v>8320.6666666666661</v>
      </c>
      <c r="D22" s="124">
        <v>16256</v>
      </c>
      <c r="E22" s="124">
        <v>23479</v>
      </c>
      <c r="F22" s="124">
        <v>26445</v>
      </c>
      <c r="G22" s="124">
        <f t="shared" si="1"/>
        <v>99848</v>
      </c>
    </row>
    <row r="23" spans="1:7" ht="36.75" hidden="1" customHeight="1" outlineLevel="1">
      <c r="A23" s="122" t="s">
        <v>55</v>
      </c>
      <c r="B23" s="123" t="s">
        <v>56</v>
      </c>
      <c r="C23" s="124">
        <v>356293.66666666669</v>
      </c>
      <c r="D23" s="124">
        <v>818857</v>
      </c>
      <c r="E23" s="124">
        <v>875328</v>
      </c>
      <c r="F23" s="124">
        <v>1262434</v>
      </c>
      <c r="G23" s="124">
        <f>+C23*12*1.185</f>
        <v>5066495.9400000004</v>
      </c>
    </row>
    <row r="24" spans="1:7" ht="25.5" hidden="1" outlineLevel="1">
      <c r="A24" s="122" t="s">
        <v>57</v>
      </c>
      <c r="B24" s="123" t="s">
        <v>58</v>
      </c>
      <c r="C24" s="124">
        <v>265484</v>
      </c>
      <c r="D24" s="124">
        <v>45891</v>
      </c>
      <c r="E24" s="124">
        <v>458718</v>
      </c>
      <c r="F24" s="124">
        <v>888760</v>
      </c>
      <c r="G24" s="124">
        <f>+C24*12*1.185</f>
        <v>3775182.48</v>
      </c>
    </row>
    <row r="25" spans="1:7" ht="38.25" hidden="1" outlineLevel="1">
      <c r="A25" s="180" t="s">
        <v>521</v>
      </c>
      <c r="B25" s="181" t="s">
        <v>59</v>
      </c>
      <c r="C25" s="182"/>
      <c r="D25" s="182">
        <v>1807710</v>
      </c>
      <c r="E25" s="182">
        <v>866150.77</v>
      </c>
      <c r="F25" s="182">
        <v>-920850</v>
      </c>
      <c r="G25" s="183">
        <v>0</v>
      </c>
    </row>
    <row r="26" spans="1:7" ht="38.25" hidden="1" outlineLevel="1">
      <c r="A26" s="122" t="s">
        <v>522</v>
      </c>
      <c r="B26" s="123" t="s">
        <v>60</v>
      </c>
      <c r="C26" s="124">
        <v>80594</v>
      </c>
      <c r="D26" s="124">
        <v>71154</v>
      </c>
      <c r="E26" s="124">
        <v>232853</v>
      </c>
      <c r="F26" s="124">
        <v>250711</v>
      </c>
      <c r="G26" s="124">
        <f>+C26*12*1.185</f>
        <v>1146046.6800000002</v>
      </c>
    </row>
    <row r="27" spans="1:7" ht="25.5" hidden="1" outlineLevel="1">
      <c r="A27" s="122" t="s">
        <v>523</v>
      </c>
      <c r="B27" s="123" t="s">
        <v>64</v>
      </c>
      <c r="C27" s="124">
        <v>2978450.2</v>
      </c>
      <c r="D27" s="124">
        <v>8385909</v>
      </c>
      <c r="E27" s="124">
        <v>8532268.8000000007</v>
      </c>
      <c r="F27" s="124">
        <v>8352878</v>
      </c>
      <c r="G27" s="124">
        <f t="shared" ref="G27:G35" si="2">+C27*12*1.1</f>
        <v>39315542.640000008</v>
      </c>
    </row>
    <row r="28" spans="1:7" ht="38.25" hidden="1" outlineLevel="1">
      <c r="A28" s="122" t="s">
        <v>524</v>
      </c>
      <c r="B28" s="123" t="s">
        <v>65</v>
      </c>
      <c r="C28" s="124">
        <v>35891.5</v>
      </c>
      <c r="D28" s="124">
        <v>40877</v>
      </c>
      <c r="E28" s="124">
        <v>112819</v>
      </c>
      <c r="F28" s="124">
        <v>102530</v>
      </c>
      <c r="G28" s="124">
        <f t="shared" si="2"/>
        <v>473767.80000000005</v>
      </c>
    </row>
    <row r="29" spans="1:7" ht="25.5" hidden="1" outlineLevel="1">
      <c r="A29" s="122" t="s">
        <v>525</v>
      </c>
      <c r="B29" s="123" t="s">
        <v>61</v>
      </c>
      <c r="C29" s="124">
        <v>307213</v>
      </c>
      <c r="D29" s="124">
        <v>587057</v>
      </c>
      <c r="E29" s="124">
        <v>200687</v>
      </c>
      <c r="F29" s="124">
        <v>1590378</v>
      </c>
      <c r="G29" s="124">
        <f t="shared" ref="G29:G39" si="3">+C29*12*1.185</f>
        <v>4368568.8600000003</v>
      </c>
    </row>
    <row r="30" spans="1:7" ht="25.5" hidden="1" outlineLevel="1">
      <c r="A30" s="122" t="s">
        <v>526</v>
      </c>
      <c r="B30" s="123" t="s">
        <v>62</v>
      </c>
      <c r="C30" s="124">
        <v>227681.66666666666</v>
      </c>
      <c r="D30" s="124">
        <v>425926</v>
      </c>
      <c r="E30" s="124">
        <v>713913</v>
      </c>
      <c r="F30" s="124">
        <v>652177</v>
      </c>
      <c r="G30" s="124">
        <f t="shared" si="3"/>
        <v>3237633.3000000003</v>
      </c>
    </row>
    <row r="31" spans="1:7" ht="38.25" hidden="1" outlineLevel="1">
      <c r="A31" s="122" t="s">
        <v>527</v>
      </c>
      <c r="B31" s="123" t="s">
        <v>63</v>
      </c>
      <c r="C31" s="124">
        <v>24191.333333333332</v>
      </c>
      <c r="D31" s="124">
        <v>-8307</v>
      </c>
      <c r="E31" s="124">
        <v>41665</v>
      </c>
      <c r="F31" s="124">
        <v>103483</v>
      </c>
      <c r="G31" s="124">
        <f t="shared" si="3"/>
        <v>344000.76</v>
      </c>
    </row>
    <row r="32" spans="1:7" ht="38.25" hidden="1" outlineLevel="1">
      <c r="A32" s="122" t="s">
        <v>528</v>
      </c>
      <c r="B32" s="123" t="s">
        <v>67</v>
      </c>
      <c r="C32" s="124">
        <v>14782.5</v>
      </c>
      <c r="D32" s="124">
        <v>19483</v>
      </c>
      <c r="E32" s="124">
        <v>31965</v>
      </c>
      <c r="F32" s="124">
        <v>56730</v>
      </c>
      <c r="G32" s="124">
        <f t="shared" si="3"/>
        <v>210207.15000000002</v>
      </c>
    </row>
    <row r="33" spans="1:7" ht="25.5" hidden="1" outlineLevel="1">
      <c r="A33" s="122" t="s">
        <v>529</v>
      </c>
      <c r="B33" s="123" t="s">
        <v>66</v>
      </c>
      <c r="C33" s="124">
        <v>229006.83333333334</v>
      </c>
      <c r="D33" s="124">
        <v>430151</v>
      </c>
      <c r="E33" s="124">
        <v>658683</v>
      </c>
      <c r="F33" s="124">
        <v>715358</v>
      </c>
      <c r="G33" s="124">
        <f t="shared" si="3"/>
        <v>3256477.17</v>
      </c>
    </row>
    <row r="34" spans="1:7" ht="25.5" hidden="1" outlineLevel="1">
      <c r="A34" s="122" t="s">
        <v>530</v>
      </c>
      <c r="B34" s="123" t="s">
        <v>68</v>
      </c>
      <c r="C34" s="124">
        <v>69058.5</v>
      </c>
      <c r="D34" s="124">
        <v>105147</v>
      </c>
      <c r="E34" s="124">
        <v>215631</v>
      </c>
      <c r="F34" s="124">
        <v>198720</v>
      </c>
      <c r="G34" s="124">
        <f t="shared" si="3"/>
        <v>982011.87</v>
      </c>
    </row>
    <row r="35" spans="1:7" hidden="1" outlineLevel="1">
      <c r="A35" s="122" t="s">
        <v>531</v>
      </c>
      <c r="B35" s="123" t="s">
        <v>69</v>
      </c>
      <c r="C35" s="124">
        <v>643835</v>
      </c>
      <c r="D35" s="124">
        <v>801362.08</v>
      </c>
      <c r="E35" s="124">
        <v>1180967.92</v>
      </c>
      <c r="F35" s="124">
        <v>1907000</v>
      </c>
      <c r="G35" s="124">
        <f t="shared" si="2"/>
        <v>8498622</v>
      </c>
    </row>
    <row r="36" spans="1:7" hidden="1" outlineLevel="1">
      <c r="A36" s="122" t="s">
        <v>70</v>
      </c>
      <c r="B36" s="123" t="s">
        <v>71</v>
      </c>
      <c r="C36" s="124">
        <v>99852.833333333328</v>
      </c>
      <c r="D36" s="124">
        <v>150220</v>
      </c>
      <c r="E36" s="124">
        <v>261250</v>
      </c>
      <c r="F36" s="124">
        <v>337867</v>
      </c>
      <c r="G36" s="124">
        <f t="shared" si="3"/>
        <v>1419907.29</v>
      </c>
    </row>
    <row r="37" spans="1:7" hidden="1" outlineLevel="1">
      <c r="A37" s="122" t="s">
        <v>72</v>
      </c>
      <c r="B37" s="123" t="s">
        <v>73</v>
      </c>
      <c r="C37" s="124">
        <v>24096.666666666668</v>
      </c>
      <c r="D37" s="124">
        <v>30994</v>
      </c>
      <c r="E37" s="124">
        <v>78920</v>
      </c>
      <c r="F37" s="124">
        <v>65660</v>
      </c>
      <c r="G37" s="124">
        <f t="shared" si="3"/>
        <v>342654.60000000003</v>
      </c>
    </row>
    <row r="38" spans="1:7" ht="25.5" hidden="1" outlineLevel="1">
      <c r="A38" s="122" t="s">
        <v>74</v>
      </c>
      <c r="B38" s="123" t="s">
        <v>75</v>
      </c>
      <c r="C38" s="124">
        <v>47878.5</v>
      </c>
      <c r="D38" s="124">
        <v>36593</v>
      </c>
      <c r="E38" s="124">
        <v>127214</v>
      </c>
      <c r="F38" s="124">
        <v>160057</v>
      </c>
      <c r="G38" s="124">
        <f t="shared" si="3"/>
        <v>680832.27</v>
      </c>
    </row>
    <row r="39" spans="1:7" ht="25.5" hidden="1" outlineLevel="1">
      <c r="A39" s="122" t="s">
        <v>76</v>
      </c>
      <c r="B39" s="123" t="s">
        <v>77</v>
      </c>
      <c r="C39" s="124">
        <v>16093.166666666666</v>
      </c>
      <c r="D39" s="124">
        <v>24726</v>
      </c>
      <c r="E39" s="124">
        <v>32442</v>
      </c>
      <c r="F39" s="124">
        <v>64117</v>
      </c>
      <c r="G39" s="124">
        <f t="shared" si="3"/>
        <v>228844.83000000002</v>
      </c>
    </row>
    <row r="40" spans="1:7" ht="25.5" hidden="1" outlineLevel="1">
      <c r="A40" s="122" t="s">
        <v>532</v>
      </c>
      <c r="B40" s="123" t="s">
        <v>78</v>
      </c>
      <c r="C40" s="124">
        <v>8293</v>
      </c>
      <c r="D40" s="124">
        <v>10442</v>
      </c>
      <c r="E40" s="124">
        <v>20954</v>
      </c>
      <c r="F40" s="124">
        <v>28804</v>
      </c>
      <c r="G40" s="124">
        <f t="shared" ref="G40:G46" si="4">+C40*12</f>
        <v>99516</v>
      </c>
    </row>
    <row r="41" spans="1:7" hidden="1" outlineLevel="1">
      <c r="A41" s="122" t="s">
        <v>533</v>
      </c>
      <c r="B41" s="123" t="s">
        <v>79</v>
      </c>
      <c r="C41" s="124">
        <v>47817.833333333336</v>
      </c>
      <c r="D41" s="124">
        <v>104395</v>
      </c>
      <c r="E41" s="124">
        <v>134996</v>
      </c>
      <c r="F41" s="124">
        <v>151911</v>
      </c>
      <c r="G41" s="124">
        <f t="shared" si="4"/>
        <v>573814</v>
      </c>
    </row>
    <row r="42" spans="1:7" hidden="1" outlineLevel="1">
      <c r="A42" s="122" t="s">
        <v>534</v>
      </c>
      <c r="B42" s="123" t="s">
        <v>80</v>
      </c>
      <c r="C42" s="124">
        <v>107942.11333333333</v>
      </c>
      <c r="D42" s="124">
        <v>195399.32</v>
      </c>
      <c r="E42" s="124">
        <v>294278.68</v>
      </c>
      <c r="F42" s="124">
        <v>353374</v>
      </c>
      <c r="G42" s="124">
        <f t="shared" si="4"/>
        <v>1295305.3599999999</v>
      </c>
    </row>
    <row r="43" spans="1:7" hidden="1" outlineLevel="1">
      <c r="A43" s="122" t="s">
        <v>535</v>
      </c>
      <c r="B43" s="123" t="s">
        <v>82</v>
      </c>
      <c r="C43" s="124">
        <v>186999.4</v>
      </c>
      <c r="D43" s="124">
        <v>123550</v>
      </c>
      <c r="E43" s="124">
        <v>-21290</v>
      </c>
      <c r="F43" s="124">
        <v>956287</v>
      </c>
      <c r="G43" s="124">
        <f t="shared" si="4"/>
        <v>2243992.7999999998</v>
      </c>
    </row>
    <row r="44" spans="1:7" hidden="1" outlineLevel="1">
      <c r="A44" s="122" t="s">
        <v>536</v>
      </c>
      <c r="B44" s="123" t="s">
        <v>83</v>
      </c>
      <c r="C44" s="124">
        <v>17997.333333333332</v>
      </c>
      <c r="D44" s="124">
        <v>18222</v>
      </c>
      <c r="E44" s="124">
        <v>49880</v>
      </c>
      <c r="F44" s="124">
        <v>58104</v>
      </c>
      <c r="G44" s="124">
        <f t="shared" si="4"/>
        <v>215968</v>
      </c>
    </row>
    <row r="45" spans="1:7" hidden="1" outlineLevel="1">
      <c r="A45" s="122" t="s">
        <v>537</v>
      </c>
      <c r="B45" s="123" t="s">
        <v>84</v>
      </c>
      <c r="C45" s="124">
        <v>8667.619999999999</v>
      </c>
      <c r="D45" s="124"/>
      <c r="E45" s="124">
        <v>16900</v>
      </c>
      <c r="F45" s="124">
        <v>26438.1</v>
      </c>
      <c r="G45" s="124">
        <f t="shared" si="4"/>
        <v>104011.43999999999</v>
      </c>
    </row>
    <row r="46" spans="1:7" ht="25.5" hidden="1" outlineLevel="1">
      <c r="A46" s="122" t="s">
        <v>85</v>
      </c>
      <c r="B46" s="123" t="s">
        <v>86</v>
      </c>
      <c r="C46" s="124">
        <v>65600.743999999992</v>
      </c>
      <c r="D46" s="124">
        <v>194621</v>
      </c>
      <c r="E46" s="124">
        <v>124840</v>
      </c>
      <c r="F46" s="124">
        <v>187887</v>
      </c>
      <c r="G46" s="124">
        <f t="shared" si="4"/>
        <v>787208.92799999984</v>
      </c>
    </row>
    <row r="47" spans="1:7" ht="25.5" hidden="1" outlineLevel="1">
      <c r="A47" s="122" t="s">
        <v>538</v>
      </c>
      <c r="B47" s="123" t="s">
        <v>87</v>
      </c>
      <c r="C47" s="124">
        <v>101208.16666666667</v>
      </c>
      <c r="D47" s="124">
        <v>140571</v>
      </c>
      <c r="E47" s="124">
        <v>294286</v>
      </c>
      <c r="F47" s="124">
        <v>312963</v>
      </c>
      <c r="G47" s="124">
        <f>+C47*12*1.055</f>
        <v>1281295.3899999999</v>
      </c>
    </row>
    <row r="48" spans="1:7" ht="51" hidden="1" outlineLevel="1">
      <c r="A48" s="122" t="s">
        <v>88</v>
      </c>
      <c r="B48" s="123" t="s">
        <v>89</v>
      </c>
      <c r="C48" s="124">
        <v>1908.5900000000001</v>
      </c>
      <c r="D48" s="124">
        <v>7300</v>
      </c>
      <c r="E48" s="124">
        <v>5029.54</v>
      </c>
      <c r="F48" s="124">
        <v>6422</v>
      </c>
      <c r="G48" s="124">
        <f t="shared" ref="G48:G82" si="5">+C48*12</f>
        <v>22903.08</v>
      </c>
    </row>
    <row r="49" spans="1:7" ht="51" hidden="1" outlineLevel="1">
      <c r="A49" s="122" t="s">
        <v>90</v>
      </c>
      <c r="B49" s="123" t="s">
        <v>91</v>
      </c>
      <c r="C49" s="124">
        <v>3414.6</v>
      </c>
      <c r="D49" s="124">
        <v>6627.73</v>
      </c>
      <c r="E49" s="124">
        <v>12139.27</v>
      </c>
      <c r="F49" s="124">
        <v>11261</v>
      </c>
      <c r="G49" s="124">
        <f t="shared" si="5"/>
        <v>40975.199999999997</v>
      </c>
    </row>
    <row r="50" spans="1:7" hidden="1" outlineLevel="1">
      <c r="A50" s="122" t="s">
        <v>539</v>
      </c>
      <c r="B50" s="123" t="s">
        <v>92</v>
      </c>
      <c r="C50" s="124">
        <v>596146.83333333337</v>
      </c>
      <c r="D50" s="124">
        <v>1039025</v>
      </c>
      <c r="E50" s="124">
        <v>2099303</v>
      </c>
      <c r="F50" s="124">
        <v>1477578</v>
      </c>
      <c r="G50" s="124">
        <f t="shared" si="5"/>
        <v>7153762</v>
      </c>
    </row>
    <row r="51" spans="1:7" hidden="1" outlineLevel="1">
      <c r="A51" s="122" t="s">
        <v>540</v>
      </c>
      <c r="B51" s="123" t="s">
        <v>93</v>
      </c>
      <c r="C51" s="124">
        <v>15100.151666666665</v>
      </c>
      <c r="D51" s="124">
        <v>24635.74</v>
      </c>
      <c r="E51" s="124">
        <v>37211.910000000003</v>
      </c>
      <c r="F51" s="124">
        <v>53389</v>
      </c>
      <c r="G51" s="124">
        <f t="shared" si="5"/>
        <v>181201.81999999998</v>
      </c>
    </row>
    <row r="52" spans="1:7" hidden="1" outlineLevel="1">
      <c r="A52" s="122" t="s">
        <v>352</v>
      </c>
      <c r="B52" s="123" t="s">
        <v>94</v>
      </c>
      <c r="C52" s="124">
        <v>46701.333333333336</v>
      </c>
      <c r="D52" s="124">
        <v>85641</v>
      </c>
      <c r="E52" s="124">
        <v>132457</v>
      </c>
      <c r="F52" s="124">
        <v>147751</v>
      </c>
      <c r="G52" s="124">
        <f t="shared" si="5"/>
        <v>560416</v>
      </c>
    </row>
    <row r="53" spans="1:7" hidden="1" outlineLevel="1">
      <c r="A53" s="122" t="s">
        <v>353</v>
      </c>
      <c r="B53" s="123" t="s">
        <v>98</v>
      </c>
      <c r="C53" s="124">
        <v>46982.003333333334</v>
      </c>
      <c r="D53" s="124">
        <v>106853</v>
      </c>
      <c r="E53" s="124">
        <v>129791.02</v>
      </c>
      <c r="F53" s="124">
        <v>152101</v>
      </c>
      <c r="G53" s="124">
        <f t="shared" si="5"/>
        <v>563784.04</v>
      </c>
    </row>
    <row r="54" spans="1:7" hidden="1" outlineLevel="1">
      <c r="A54" s="122" t="s">
        <v>354</v>
      </c>
      <c r="B54" s="123" t="s">
        <v>100</v>
      </c>
      <c r="C54" s="124">
        <v>138280.5</v>
      </c>
      <c r="D54" s="124">
        <v>259684</v>
      </c>
      <c r="E54" s="124">
        <v>444184</v>
      </c>
      <c r="F54" s="124">
        <v>385499</v>
      </c>
      <c r="G54" s="124">
        <f t="shared" si="5"/>
        <v>1659366</v>
      </c>
    </row>
    <row r="55" spans="1:7" hidden="1" outlineLevel="1">
      <c r="A55" s="122" t="s">
        <v>541</v>
      </c>
      <c r="B55" s="123" t="s">
        <v>95</v>
      </c>
      <c r="C55" s="124">
        <v>165488.49999999997</v>
      </c>
      <c r="D55" s="124">
        <v>254080</v>
      </c>
      <c r="E55" s="124">
        <v>577224</v>
      </c>
      <c r="F55" s="124">
        <v>415707</v>
      </c>
      <c r="G55" s="124">
        <f t="shared" si="5"/>
        <v>1985861.9999999995</v>
      </c>
    </row>
    <row r="56" spans="1:7" hidden="1" outlineLevel="1">
      <c r="A56" s="122" t="s">
        <v>355</v>
      </c>
      <c r="B56" s="123" t="s">
        <v>101</v>
      </c>
      <c r="C56" s="124">
        <v>41818.666666666664</v>
      </c>
      <c r="D56" s="124">
        <v>77067</v>
      </c>
      <c r="E56" s="124">
        <v>134707</v>
      </c>
      <c r="F56" s="124">
        <v>116205</v>
      </c>
      <c r="G56" s="124">
        <f t="shared" si="5"/>
        <v>501824</v>
      </c>
    </row>
    <row r="57" spans="1:7" hidden="1" outlineLevel="1">
      <c r="A57" s="122" t="s">
        <v>542</v>
      </c>
      <c r="B57" s="123" t="s">
        <v>96</v>
      </c>
      <c r="C57" s="124">
        <v>325470.55333333334</v>
      </c>
      <c r="D57" s="124">
        <v>661791.68000000005</v>
      </c>
      <c r="E57" s="124">
        <v>986609.32</v>
      </c>
      <c r="F57" s="124">
        <v>966214</v>
      </c>
      <c r="G57" s="124">
        <f t="shared" si="5"/>
        <v>3905646.64</v>
      </c>
    </row>
    <row r="58" spans="1:7" hidden="1" outlineLevel="1">
      <c r="A58" s="122" t="s">
        <v>543</v>
      </c>
      <c r="B58" s="123" t="s">
        <v>97</v>
      </c>
      <c r="C58" s="124">
        <v>47563.833333333336</v>
      </c>
      <c r="D58" s="124">
        <v>74822</v>
      </c>
      <c r="E58" s="124">
        <v>145217</v>
      </c>
      <c r="F58" s="124">
        <v>140166</v>
      </c>
      <c r="G58" s="124">
        <f t="shared" si="5"/>
        <v>570766</v>
      </c>
    </row>
    <row r="59" spans="1:7" hidden="1" outlineLevel="1">
      <c r="A59" s="122" t="s">
        <v>356</v>
      </c>
      <c r="B59" s="123" t="s">
        <v>102</v>
      </c>
      <c r="C59" s="124">
        <v>40361.5</v>
      </c>
      <c r="D59" s="124">
        <v>85383.87</v>
      </c>
      <c r="E59" s="124">
        <v>124866</v>
      </c>
      <c r="F59" s="124">
        <v>117303</v>
      </c>
      <c r="G59" s="124">
        <f t="shared" si="5"/>
        <v>484338</v>
      </c>
    </row>
    <row r="60" spans="1:7" hidden="1" outlineLevel="1">
      <c r="A60" s="122" t="s">
        <v>357</v>
      </c>
      <c r="B60" s="123" t="s">
        <v>103</v>
      </c>
      <c r="C60" s="124">
        <v>55345.333333333336</v>
      </c>
      <c r="D60" s="124">
        <v>85664</v>
      </c>
      <c r="E60" s="124">
        <v>191094</v>
      </c>
      <c r="F60" s="124">
        <v>140978</v>
      </c>
      <c r="G60" s="124">
        <f t="shared" si="5"/>
        <v>664144</v>
      </c>
    </row>
    <row r="61" spans="1:7" hidden="1" outlineLevel="1">
      <c r="A61" s="122" t="s">
        <v>358</v>
      </c>
      <c r="B61" s="123" t="s">
        <v>104</v>
      </c>
      <c r="C61" s="124">
        <v>330933.56666666665</v>
      </c>
      <c r="D61" s="124">
        <v>510704</v>
      </c>
      <c r="E61" s="124">
        <v>976982.4</v>
      </c>
      <c r="F61" s="124">
        <v>1008619</v>
      </c>
      <c r="G61" s="124">
        <f t="shared" si="5"/>
        <v>3971202.8</v>
      </c>
    </row>
    <row r="62" spans="1:7" hidden="1" outlineLevel="1">
      <c r="A62" s="122" t="s">
        <v>544</v>
      </c>
      <c r="B62" s="123" t="s">
        <v>105</v>
      </c>
      <c r="C62" s="124">
        <v>544636.83333333337</v>
      </c>
      <c r="D62" s="124">
        <v>931581</v>
      </c>
      <c r="E62" s="124">
        <v>1810998</v>
      </c>
      <c r="F62" s="124">
        <v>1456823</v>
      </c>
      <c r="G62" s="124">
        <f t="shared" si="5"/>
        <v>6535642</v>
      </c>
    </row>
    <row r="63" spans="1:7" hidden="1" outlineLevel="1">
      <c r="A63" s="122" t="s">
        <v>545</v>
      </c>
      <c r="B63" s="123" t="s">
        <v>99</v>
      </c>
      <c r="C63" s="124">
        <v>40341</v>
      </c>
      <c r="D63" s="124">
        <v>75719</v>
      </c>
      <c r="E63" s="124">
        <v>122441</v>
      </c>
      <c r="F63" s="124">
        <v>119605</v>
      </c>
      <c r="G63" s="124">
        <f t="shared" si="5"/>
        <v>484092</v>
      </c>
    </row>
    <row r="64" spans="1:7" hidden="1" outlineLevel="1">
      <c r="A64" s="122" t="s">
        <v>359</v>
      </c>
      <c r="B64" s="123" t="s">
        <v>106</v>
      </c>
      <c r="C64" s="124">
        <v>42273.833333333336</v>
      </c>
      <c r="D64" s="124">
        <v>83724</v>
      </c>
      <c r="E64" s="124">
        <v>130797</v>
      </c>
      <c r="F64" s="124">
        <v>122846</v>
      </c>
      <c r="G64" s="124">
        <f t="shared" si="5"/>
        <v>507286</v>
      </c>
    </row>
    <row r="65" spans="1:7" hidden="1" outlineLevel="1">
      <c r="A65" s="122" t="s">
        <v>546</v>
      </c>
      <c r="B65" s="123" t="s">
        <v>107</v>
      </c>
      <c r="C65" s="124">
        <v>187734.83333333334</v>
      </c>
      <c r="D65" s="124">
        <v>372074</v>
      </c>
      <c r="E65" s="124">
        <v>623240</v>
      </c>
      <c r="F65" s="124">
        <v>503169</v>
      </c>
      <c r="G65" s="124">
        <f t="shared" si="5"/>
        <v>2252818</v>
      </c>
    </row>
    <row r="66" spans="1:7" hidden="1" outlineLevel="1">
      <c r="A66" s="122" t="s">
        <v>360</v>
      </c>
      <c r="B66" s="123" t="s">
        <v>109</v>
      </c>
      <c r="C66" s="124">
        <v>160291.79166666666</v>
      </c>
      <c r="D66" s="124">
        <v>311618</v>
      </c>
      <c r="E66" s="124">
        <v>477581.75</v>
      </c>
      <c r="F66" s="124">
        <v>484169</v>
      </c>
      <c r="G66" s="124">
        <f t="shared" si="5"/>
        <v>1923501.5</v>
      </c>
    </row>
    <row r="67" spans="1:7" ht="25.5" hidden="1" outlineLevel="1">
      <c r="A67" s="122" t="s">
        <v>361</v>
      </c>
      <c r="B67" s="123" t="s">
        <v>110</v>
      </c>
      <c r="C67" s="124">
        <v>469033.6</v>
      </c>
      <c r="D67" s="124">
        <v>887285</v>
      </c>
      <c r="E67" s="124">
        <v>1733167</v>
      </c>
      <c r="F67" s="124">
        <v>1062207</v>
      </c>
      <c r="G67" s="124">
        <f t="shared" si="5"/>
        <v>5628403.1999999993</v>
      </c>
    </row>
    <row r="68" spans="1:7" hidden="1" outlineLevel="1">
      <c r="A68" s="122" t="s">
        <v>547</v>
      </c>
      <c r="B68" s="123" t="s">
        <v>108</v>
      </c>
      <c r="C68" s="124">
        <v>85665.333333333328</v>
      </c>
      <c r="D68" s="124">
        <v>174153</v>
      </c>
      <c r="E68" s="124">
        <v>274880</v>
      </c>
      <c r="F68" s="124">
        <v>239112</v>
      </c>
      <c r="G68" s="124">
        <f t="shared" si="5"/>
        <v>1027984</v>
      </c>
    </row>
    <row r="69" spans="1:7" hidden="1" outlineLevel="1">
      <c r="A69" s="122" t="s">
        <v>362</v>
      </c>
      <c r="B69" s="123" t="s">
        <v>111</v>
      </c>
      <c r="C69" s="124">
        <v>162370.26</v>
      </c>
      <c r="D69" s="124">
        <v>399344.74</v>
      </c>
      <c r="E69" s="124">
        <v>625377.49</v>
      </c>
      <c r="F69" s="124">
        <v>348844.07</v>
      </c>
      <c r="G69" s="124">
        <f t="shared" si="5"/>
        <v>1948443.12</v>
      </c>
    </row>
    <row r="70" spans="1:7" hidden="1" outlineLevel="1">
      <c r="A70" s="122" t="s">
        <v>363</v>
      </c>
      <c r="B70" s="123" t="s">
        <v>112</v>
      </c>
      <c r="C70" s="124">
        <v>167360.5</v>
      </c>
      <c r="D70" s="124">
        <v>336998</v>
      </c>
      <c r="E70" s="124">
        <v>614860</v>
      </c>
      <c r="F70" s="124">
        <v>389303</v>
      </c>
      <c r="G70" s="124">
        <f t="shared" si="5"/>
        <v>2008326</v>
      </c>
    </row>
    <row r="71" spans="1:7" hidden="1" outlineLevel="1">
      <c r="A71" s="122" t="s">
        <v>364</v>
      </c>
      <c r="B71" s="123" t="s">
        <v>113</v>
      </c>
      <c r="C71" s="124">
        <v>211014.16666666666</v>
      </c>
      <c r="D71" s="124">
        <v>377061</v>
      </c>
      <c r="E71" s="124">
        <v>867250</v>
      </c>
      <c r="F71" s="124">
        <v>398835</v>
      </c>
      <c r="G71" s="124">
        <f t="shared" si="5"/>
        <v>2532170</v>
      </c>
    </row>
    <row r="72" spans="1:7" ht="25.5" hidden="1" outlineLevel="1">
      <c r="A72" s="122" t="s">
        <v>365</v>
      </c>
      <c r="B72" s="123" t="s">
        <v>114</v>
      </c>
      <c r="C72" s="124">
        <v>260941.5</v>
      </c>
      <c r="D72" s="124">
        <v>532267</v>
      </c>
      <c r="E72" s="124">
        <v>934470</v>
      </c>
      <c r="F72" s="124">
        <v>631179</v>
      </c>
      <c r="G72" s="124">
        <f t="shared" si="5"/>
        <v>3131298</v>
      </c>
    </row>
    <row r="73" spans="1:7" hidden="1" outlineLevel="1">
      <c r="A73" s="122" t="s">
        <v>366</v>
      </c>
      <c r="B73" s="123" t="s">
        <v>115</v>
      </c>
      <c r="C73" s="124">
        <v>110592.34666666666</v>
      </c>
      <c r="D73" s="124">
        <v>199219.92</v>
      </c>
      <c r="E73" s="124">
        <v>410545.08</v>
      </c>
      <c r="F73" s="124">
        <v>253009</v>
      </c>
      <c r="G73" s="124">
        <f t="shared" si="5"/>
        <v>1327108.1599999999</v>
      </c>
    </row>
    <row r="74" spans="1:7" ht="25.5" hidden="1" outlineLevel="1">
      <c r="A74" s="122" t="s">
        <v>367</v>
      </c>
      <c r="B74" s="123" t="s">
        <v>116</v>
      </c>
      <c r="C74" s="124">
        <v>581380.65500000003</v>
      </c>
      <c r="D74" s="124">
        <v>1154464</v>
      </c>
      <c r="E74" s="124">
        <v>1836163.93</v>
      </c>
      <c r="F74" s="124">
        <v>1652120</v>
      </c>
      <c r="G74" s="124">
        <f t="shared" si="5"/>
        <v>6976567.8600000003</v>
      </c>
    </row>
    <row r="75" spans="1:7" ht="25.5" hidden="1" outlineLevel="1">
      <c r="A75" s="122" t="s">
        <v>368</v>
      </c>
      <c r="B75" s="123" t="s">
        <v>117</v>
      </c>
      <c r="C75" s="124">
        <v>899959.16666666663</v>
      </c>
      <c r="D75" s="124">
        <v>1733948</v>
      </c>
      <c r="E75" s="124">
        <v>3801517</v>
      </c>
      <c r="F75" s="124">
        <v>1598238</v>
      </c>
      <c r="G75" s="124">
        <f t="shared" si="5"/>
        <v>10799510</v>
      </c>
    </row>
    <row r="76" spans="1:7" hidden="1" outlineLevel="1">
      <c r="A76" s="122" t="s">
        <v>369</v>
      </c>
      <c r="B76" s="123" t="s">
        <v>118</v>
      </c>
      <c r="C76" s="124">
        <v>65766.666666666672</v>
      </c>
      <c r="D76" s="124">
        <v>129037</v>
      </c>
      <c r="E76" s="124">
        <v>238523</v>
      </c>
      <c r="F76" s="124">
        <v>156077</v>
      </c>
      <c r="G76" s="124">
        <f t="shared" si="5"/>
        <v>789200</v>
      </c>
    </row>
    <row r="77" spans="1:7" hidden="1" outlineLevel="1">
      <c r="A77" s="122" t="s">
        <v>370</v>
      </c>
      <c r="B77" s="123" t="s">
        <v>119</v>
      </c>
      <c r="C77" s="124">
        <v>95521</v>
      </c>
      <c r="D77" s="124">
        <v>190109</v>
      </c>
      <c r="E77" s="124">
        <v>338464</v>
      </c>
      <c r="F77" s="124">
        <v>234662</v>
      </c>
      <c r="G77" s="124">
        <f t="shared" si="5"/>
        <v>1146252</v>
      </c>
    </row>
    <row r="78" spans="1:7" hidden="1" outlineLevel="1">
      <c r="A78" s="122" t="s">
        <v>371</v>
      </c>
      <c r="B78" s="123" t="s">
        <v>120</v>
      </c>
      <c r="C78" s="124">
        <v>223773.5</v>
      </c>
      <c r="D78" s="124">
        <v>445969</v>
      </c>
      <c r="E78" s="124">
        <v>750167</v>
      </c>
      <c r="F78" s="124">
        <v>592474</v>
      </c>
      <c r="G78" s="124">
        <f t="shared" si="5"/>
        <v>2685282</v>
      </c>
    </row>
    <row r="79" spans="1:7" hidden="1" outlineLevel="1">
      <c r="A79" s="122" t="s">
        <v>372</v>
      </c>
      <c r="B79" s="123" t="s">
        <v>121</v>
      </c>
      <c r="C79" s="124">
        <v>148148</v>
      </c>
      <c r="D79" s="124">
        <v>287308</v>
      </c>
      <c r="E79" s="124">
        <v>608849</v>
      </c>
      <c r="F79" s="124">
        <v>280039</v>
      </c>
      <c r="G79" s="124">
        <f t="shared" si="5"/>
        <v>1777776</v>
      </c>
    </row>
    <row r="80" spans="1:7" ht="25.5" hidden="1" outlineLevel="1">
      <c r="A80" s="122" t="s">
        <v>548</v>
      </c>
      <c r="B80" s="123" t="s">
        <v>123</v>
      </c>
      <c r="C80" s="124">
        <v>243114</v>
      </c>
      <c r="D80" s="124">
        <v>232098.85</v>
      </c>
      <c r="E80" s="124">
        <v>1241785</v>
      </c>
      <c r="F80" s="124">
        <v>295624</v>
      </c>
      <c r="G80" s="124">
        <f t="shared" si="5"/>
        <v>2917368</v>
      </c>
    </row>
    <row r="81" spans="1:7" ht="25.5" hidden="1" outlineLevel="1">
      <c r="A81" s="122" t="s">
        <v>549</v>
      </c>
      <c r="B81" s="123" t="s">
        <v>124</v>
      </c>
      <c r="C81" s="124">
        <v>55864.06</v>
      </c>
      <c r="D81" s="124">
        <v>50285</v>
      </c>
      <c r="E81" s="124">
        <v>212864.36</v>
      </c>
      <c r="F81" s="124">
        <v>122320</v>
      </c>
      <c r="G81" s="124">
        <f t="shared" si="5"/>
        <v>670368.72</v>
      </c>
    </row>
    <row r="82" spans="1:7" hidden="1" outlineLevel="1">
      <c r="A82" s="122" t="s">
        <v>550</v>
      </c>
      <c r="B82" s="123" t="s">
        <v>125</v>
      </c>
      <c r="C82" s="124">
        <v>243666.5</v>
      </c>
      <c r="D82" s="124">
        <v>689154.87</v>
      </c>
      <c r="E82" s="124">
        <v>683932.2</v>
      </c>
      <c r="F82" s="124">
        <v>196235.39</v>
      </c>
      <c r="G82" s="124">
        <f t="shared" si="5"/>
        <v>2923998</v>
      </c>
    </row>
    <row r="83" spans="1:7" hidden="1" outlineLevel="1">
      <c r="A83" s="122" t="s">
        <v>551</v>
      </c>
      <c r="B83" s="123" t="s">
        <v>126</v>
      </c>
      <c r="C83" s="124">
        <v>200359.5</v>
      </c>
      <c r="D83" s="124">
        <v>354065</v>
      </c>
      <c r="E83" s="124">
        <v>603716</v>
      </c>
      <c r="F83" s="124">
        <v>598441</v>
      </c>
      <c r="G83" s="124">
        <f>+C83*12*1.1</f>
        <v>2644745.4000000004</v>
      </c>
    </row>
    <row r="84" spans="1:7" ht="38.25" hidden="1" outlineLevel="1">
      <c r="A84" s="122" t="s">
        <v>552</v>
      </c>
      <c r="B84" s="123" t="s">
        <v>127</v>
      </c>
      <c r="C84" s="124">
        <v>561457.80000000005</v>
      </c>
      <c r="D84" s="124">
        <v>1114375</v>
      </c>
      <c r="E84" s="124">
        <v>1498368.61</v>
      </c>
      <c r="F84" s="124">
        <v>1541389</v>
      </c>
      <c r="G84" s="124">
        <f>+C84*12*1.1</f>
        <v>7411242.9600000009</v>
      </c>
    </row>
    <row r="85" spans="1:7" hidden="1" outlineLevel="1">
      <c r="A85" s="122" t="s">
        <v>553</v>
      </c>
      <c r="B85" s="123" t="s">
        <v>128</v>
      </c>
      <c r="C85" s="124">
        <v>129352.33333333333</v>
      </c>
      <c r="D85" s="124">
        <v>145284.94</v>
      </c>
      <c r="E85" s="124">
        <v>813605</v>
      </c>
      <c r="F85" s="124">
        <v>-37491</v>
      </c>
      <c r="G85" s="124">
        <f>+C85*12</f>
        <v>1552228</v>
      </c>
    </row>
    <row r="86" spans="1:7" hidden="1" outlineLevel="1">
      <c r="A86" s="122" t="s">
        <v>554</v>
      </c>
      <c r="B86" s="123" t="s">
        <v>129</v>
      </c>
      <c r="C86" s="124">
        <v>95620.5</v>
      </c>
      <c r="D86" s="124">
        <v>68270</v>
      </c>
      <c r="E86" s="124">
        <v>432027</v>
      </c>
      <c r="F86" s="124">
        <v>141696</v>
      </c>
      <c r="G86" s="124">
        <f>+C86*12*1.1</f>
        <v>1262190.6000000001</v>
      </c>
    </row>
    <row r="87" spans="1:7" hidden="1" outlineLevel="1">
      <c r="A87" s="122" t="s">
        <v>555</v>
      </c>
      <c r="B87" s="123" t="s">
        <v>122</v>
      </c>
      <c r="C87" s="124">
        <v>514296.6</v>
      </c>
      <c r="D87" s="124">
        <v>1013443</v>
      </c>
      <c r="E87" s="124">
        <v>1556511</v>
      </c>
      <c r="F87" s="124">
        <v>1539530</v>
      </c>
      <c r="G87" s="124">
        <f>+C87*12*1.1</f>
        <v>6788715.1200000001</v>
      </c>
    </row>
    <row r="88" spans="1:7" hidden="1" outlineLevel="1">
      <c r="A88" s="122" t="s">
        <v>556</v>
      </c>
      <c r="B88" s="123" t="s">
        <v>130</v>
      </c>
      <c r="C88" s="124">
        <v>563500.80000000005</v>
      </c>
      <c r="D88" s="124"/>
      <c r="E88" s="124">
        <v>1692749</v>
      </c>
      <c r="F88" s="124">
        <v>1692551</v>
      </c>
      <c r="G88" s="124">
        <f>+C88*12*1.1</f>
        <v>7438210.5600000015</v>
      </c>
    </row>
    <row r="89" spans="1:7" hidden="1" outlineLevel="1">
      <c r="A89" s="122" t="s">
        <v>557</v>
      </c>
      <c r="B89" s="123" t="s">
        <v>131</v>
      </c>
      <c r="C89" s="124">
        <v>351049.83333333331</v>
      </c>
      <c r="D89" s="124">
        <v>715595</v>
      </c>
      <c r="E89" s="124">
        <v>1095215</v>
      </c>
      <c r="F89" s="124">
        <v>1011084</v>
      </c>
      <c r="G89" s="124">
        <f>+C89*12*1.1</f>
        <v>4633857.8000000007</v>
      </c>
    </row>
    <row r="90" spans="1:7" ht="38.25" hidden="1" outlineLevel="1">
      <c r="A90" s="122" t="s">
        <v>558</v>
      </c>
      <c r="B90" s="123" t="s">
        <v>132</v>
      </c>
      <c r="C90" s="124">
        <v>546631.5</v>
      </c>
      <c r="D90" s="124">
        <v>1448520</v>
      </c>
      <c r="E90" s="124">
        <v>2085355</v>
      </c>
      <c r="F90" s="124">
        <v>1194434</v>
      </c>
      <c r="G90" s="124">
        <f>+C90*12</f>
        <v>6559578</v>
      </c>
    </row>
    <row r="91" spans="1:7" hidden="1" outlineLevel="1">
      <c r="A91" s="122" t="s">
        <v>373</v>
      </c>
      <c r="B91" s="123" t="s">
        <v>133</v>
      </c>
      <c r="C91" s="124">
        <v>53468.29</v>
      </c>
      <c r="D91" s="124">
        <v>65255.13</v>
      </c>
      <c r="E91" s="124">
        <v>180778.87</v>
      </c>
      <c r="F91" s="124">
        <v>140030.87</v>
      </c>
      <c r="G91" s="124">
        <f>+C91*12*1.185</f>
        <v>760319.08380000002</v>
      </c>
    </row>
    <row r="92" spans="1:7" ht="25.5" hidden="1" outlineLevel="1">
      <c r="A92" s="122" t="s">
        <v>559</v>
      </c>
      <c r="B92" s="123" t="s">
        <v>134</v>
      </c>
      <c r="C92" s="124">
        <v>17791.5</v>
      </c>
      <c r="D92" s="124">
        <v>45772</v>
      </c>
      <c r="E92" s="124">
        <v>48917</v>
      </c>
      <c r="F92" s="124">
        <v>57832</v>
      </c>
      <c r="G92" s="124">
        <f>+C92*12*1.185</f>
        <v>252995.13</v>
      </c>
    </row>
    <row r="93" spans="1:7" hidden="1" outlineLevel="1">
      <c r="A93" s="122" t="s">
        <v>560</v>
      </c>
      <c r="B93" s="123" t="s">
        <v>135</v>
      </c>
      <c r="C93" s="124">
        <v>443331.33333333331</v>
      </c>
      <c r="D93" s="124">
        <v>429348.4</v>
      </c>
      <c r="E93" s="124">
        <v>1701679</v>
      </c>
      <c r="F93" s="124">
        <v>958309</v>
      </c>
      <c r="G93" s="124">
        <f>+C93*12*1.185</f>
        <v>6304171.5600000005</v>
      </c>
    </row>
    <row r="94" spans="1:7" ht="38.25" hidden="1" outlineLevel="1">
      <c r="A94" s="122" t="s">
        <v>561</v>
      </c>
      <c r="B94" s="123" t="s">
        <v>136</v>
      </c>
      <c r="C94" s="124">
        <v>318952.16666666669</v>
      </c>
      <c r="D94" s="124">
        <v>293935</v>
      </c>
      <c r="E94" s="124">
        <v>913473</v>
      </c>
      <c r="F94" s="124">
        <v>1000240</v>
      </c>
      <c r="G94" s="124">
        <f t="shared" ref="G94:G152" si="6">+C94*12</f>
        <v>3827426</v>
      </c>
    </row>
    <row r="95" spans="1:7" hidden="1" outlineLevel="1">
      <c r="A95" s="122" t="s">
        <v>374</v>
      </c>
      <c r="B95" s="123" t="s">
        <v>137</v>
      </c>
      <c r="C95" s="124">
        <v>135091.16666666666</v>
      </c>
      <c r="D95" s="124">
        <v>250187</v>
      </c>
      <c r="E95" s="124">
        <v>515498</v>
      </c>
      <c r="F95" s="124">
        <v>295049</v>
      </c>
      <c r="G95" s="124">
        <f t="shared" si="6"/>
        <v>1621094</v>
      </c>
    </row>
    <row r="96" spans="1:7" ht="25.5" hidden="1" outlineLevel="1">
      <c r="A96" s="122" t="s">
        <v>562</v>
      </c>
      <c r="B96" s="123" t="s">
        <v>138</v>
      </c>
      <c r="C96" s="124">
        <v>65821</v>
      </c>
      <c r="D96" s="124">
        <v>132258.13</v>
      </c>
      <c r="E96" s="124">
        <v>264221</v>
      </c>
      <c r="F96" s="124">
        <v>130705</v>
      </c>
      <c r="G96" s="124">
        <f t="shared" si="6"/>
        <v>789852</v>
      </c>
    </row>
    <row r="97" spans="1:7" hidden="1" outlineLevel="1">
      <c r="A97" s="122" t="s">
        <v>375</v>
      </c>
      <c r="B97" s="123" t="s">
        <v>139</v>
      </c>
      <c r="C97" s="124">
        <v>610</v>
      </c>
      <c r="D97" s="124">
        <v>816.59</v>
      </c>
      <c r="E97" s="124">
        <v>1776</v>
      </c>
      <c r="F97" s="124">
        <v>1892</v>
      </c>
      <c r="G97" s="124">
        <f t="shared" si="6"/>
        <v>7320</v>
      </c>
    </row>
    <row r="98" spans="1:7" hidden="1" outlineLevel="1">
      <c r="A98" s="122" t="s">
        <v>376</v>
      </c>
      <c r="B98" s="123" t="s">
        <v>140</v>
      </c>
      <c r="C98" s="124">
        <v>8114.666666666667</v>
      </c>
      <c r="D98" s="124">
        <v>23745</v>
      </c>
      <c r="E98" s="124">
        <v>23473</v>
      </c>
      <c r="F98" s="124">
        <v>25215</v>
      </c>
      <c r="G98" s="124">
        <f t="shared" si="6"/>
        <v>97376</v>
      </c>
    </row>
    <row r="99" spans="1:7" hidden="1" outlineLevel="1">
      <c r="A99" s="122" t="s">
        <v>377</v>
      </c>
      <c r="B99" s="123" t="s">
        <v>141</v>
      </c>
      <c r="C99" s="124">
        <v>6500</v>
      </c>
      <c r="D99" s="124">
        <v>13000</v>
      </c>
      <c r="E99" s="124">
        <v>19500</v>
      </c>
      <c r="F99" s="124">
        <v>19500</v>
      </c>
      <c r="G99" s="124">
        <f t="shared" si="6"/>
        <v>78000</v>
      </c>
    </row>
    <row r="100" spans="1:7" hidden="1" outlineLevel="1">
      <c r="A100" s="122" t="s">
        <v>378</v>
      </c>
      <c r="B100" s="123" t="s">
        <v>142</v>
      </c>
      <c r="C100" s="124">
        <v>45309.77</v>
      </c>
      <c r="D100" s="124">
        <v>86178.38</v>
      </c>
      <c r="E100" s="124">
        <v>141182.62</v>
      </c>
      <c r="F100" s="124">
        <v>130676</v>
      </c>
      <c r="G100" s="124">
        <f t="shared" si="6"/>
        <v>543717.24</v>
      </c>
    </row>
    <row r="101" spans="1:7" hidden="1" outlineLevel="1">
      <c r="A101" s="122" t="s">
        <v>379</v>
      </c>
      <c r="B101" s="123" t="s">
        <v>147</v>
      </c>
      <c r="C101" s="124">
        <v>9959.3333333333339</v>
      </c>
      <c r="D101" s="124">
        <v>23498</v>
      </c>
      <c r="E101" s="124">
        <v>33417</v>
      </c>
      <c r="F101" s="124">
        <v>26339</v>
      </c>
      <c r="G101" s="124">
        <f t="shared" si="6"/>
        <v>119512</v>
      </c>
    </row>
    <row r="102" spans="1:7" hidden="1" outlineLevel="1">
      <c r="A102" s="122" t="s">
        <v>380</v>
      </c>
      <c r="B102" s="123" t="s">
        <v>148</v>
      </c>
      <c r="C102" s="124">
        <v>2116.6</v>
      </c>
      <c r="D102" s="124">
        <v>2658.24</v>
      </c>
      <c r="E102" s="124">
        <v>5211</v>
      </c>
      <c r="F102" s="124">
        <v>8086</v>
      </c>
      <c r="G102" s="124">
        <f t="shared" si="6"/>
        <v>25399.199999999997</v>
      </c>
    </row>
    <row r="103" spans="1:7" hidden="1" outlineLevel="1">
      <c r="A103" s="122" t="s">
        <v>381</v>
      </c>
      <c r="B103" s="123" t="s">
        <v>149</v>
      </c>
      <c r="C103" s="124">
        <v>1319.6</v>
      </c>
      <c r="D103" s="124">
        <v>2600</v>
      </c>
      <c r="E103" s="124">
        <v>3998</v>
      </c>
      <c r="F103" s="124">
        <v>3900</v>
      </c>
      <c r="G103" s="124">
        <f t="shared" si="6"/>
        <v>15835.199999999999</v>
      </c>
    </row>
    <row r="104" spans="1:7" hidden="1" outlineLevel="1">
      <c r="A104" s="122" t="s">
        <v>382</v>
      </c>
      <c r="B104" s="123" t="s">
        <v>150</v>
      </c>
      <c r="C104" s="124">
        <v>208668.83333333334</v>
      </c>
      <c r="D104" s="124">
        <v>389628</v>
      </c>
      <c r="E104" s="124">
        <v>615994</v>
      </c>
      <c r="F104" s="124">
        <v>636019</v>
      </c>
      <c r="G104" s="124">
        <f t="shared" si="6"/>
        <v>2504026</v>
      </c>
    </row>
    <row r="105" spans="1:7" hidden="1" outlineLevel="1">
      <c r="A105" s="122" t="s">
        <v>383</v>
      </c>
      <c r="B105" s="123" t="s">
        <v>153</v>
      </c>
      <c r="C105" s="124">
        <v>32853.833333333336</v>
      </c>
      <c r="D105" s="124">
        <v>65908</v>
      </c>
      <c r="E105" s="124">
        <v>95067</v>
      </c>
      <c r="F105" s="124">
        <v>102056</v>
      </c>
      <c r="G105" s="124">
        <f t="shared" si="6"/>
        <v>394246</v>
      </c>
    </row>
    <row r="106" spans="1:7" hidden="1" outlineLevel="1">
      <c r="A106" s="122" t="s">
        <v>384</v>
      </c>
      <c r="B106" s="123" t="s">
        <v>156</v>
      </c>
      <c r="C106" s="124">
        <v>153588.20000000001</v>
      </c>
      <c r="D106" s="124">
        <v>454213</v>
      </c>
      <c r="E106" s="124">
        <v>260968</v>
      </c>
      <c r="F106" s="124">
        <v>499728</v>
      </c>
      <c r="G106" s="124">
        <f t="shared" si="6"/>
        <v>1843058.4000000001</v>
      </c>
    </row>
    <row r="107" spans="1:7" hidden="1" outlineLevel="1">
      <c r="A107" s="122" t="s">
        <v>385</v>
      </c>
      <c r="B107" s="123" t="s">
        <v>159</v>
      </c>
      <c r="C107" s="124">
        <v>23154.491666666669</v>
      </c>
      <c r="D107" s="124">
        <v>30893</v>
      </c>
      <c r="E107" s="124">
        <v>76579</v>
      </c>
      <c r="F107" s="124">
        <v>62347.95</v>
      </c>
      <c r="G107" s="124">
        <f>+C107*12*1.1</f>
        <v>305639.29000000004</v>
      </c>
    </row>
    <row r="108" spans="1:7" hidden="1" outlineLevel="1">
      <c r="A108" s="122" t="s">
        <v>386</v>
      </c>
      <c r="B108" s="123" t="s">
        <v>23</v>
      </c>
      <c r="C108" s="124">
        <v>113123.85166666667</v>
      </c>
      <c r="D108" s="124">
        <v>114454.89</v>
      </c>
      <c r="E108" s="124">
        <v>368757.11</v>
      </c>
      <c r="F108" s="124">
        <v>309986</v>
      </c>
      <c r="G108" s="124">
        <f>+C108*12*1.05</f>
        <v>1425360.531</v>
      </c>
    </row>
    <row r="109" spans="1:7" hidden="1" outlineLevel="1">
      <c r="A109" s="122" t="s">
        <v>387</v>
      </c>
      <c r="B109" s="123" t="s">
        <v>163</v>
      </c>
      <c r="C109" s="124">
        <v>21899</v>
      </c>
      <c r="D109" s="124"/>
      <c r="E109" s="124">
        <v>75556</v>
      </c>
      <c r="F109" s="124">
        <v>55838</v>
      </c>
      <c r="G109" s="124">
        <f>+C109*12*1.1</f>
        <v>289066.80000000005</v>
      </c>
    </row>
    <row r="110" spans="1:7" hidden="1" outlineLevel="1">
      <c r="A110" s="122" t="s">
        <v>388</v>
      </c>
      <c r="B110" s="123" t="s">
        <v>165</v>
      </c>
      <c r="C110" s="124">
        <v>243096</v>
      </c>
      <c r="D110" s="124">
        <v>162787</v>
      </c>
      <c r="E110" s="124">
        <v>599756</v>
      </c>
      <c r="F110" s="124">
        <v>858820</v>
      </c>
      <c r="G110" s="124">
        <f t="shared" si="6"/>
        <v>2917152</v>
      </c>
    </row>
    <row r="111" spans="1:7" hidden="1" outlineLevel="1">
      <c r="A111" s="122" t="s">
        <v>389</v>
      </c>
      <c r="B111" s="123" t="s">
        <v>167</v>
      </c>
      <c r="C111" s="124">
        <v>7966.2</v>
      </c>
      <c r="D111" s="124">
        <v>26922</v>
      </c>
      <c r="E111" s="124">
        <v>47006</v>
      </c>
      <c r="F111" s="124">
        <v>51647</v>
      </c>
      <c r="G111" s="124">
        <f t="shared" si="6"/>
        <v>95594.4</v>
      </c>
    </row>
    <row r="112" spans="1:7" hidden="1" outlineLevel="1">
      <c r="A112" s="122" t="s">
        <v>390</v>
      </c>
      <c r="B112" s="123" t="s">
        <v>170</v>
      </c>
      <c r="C112" s="124">
        <v>12122.166666666666</v>
      </c>
      <c r="D112" s="124">
        <v>10309</v>
      </c>
      <c r="E112" s="124">
        <v>41090</v>
      </c>
      <c r="F112" s="124">
        <v>31643</v>
      </c>
      <c r="G112" s="124">
        <f t="shared" si="6"/>
        <v>145466</v>
      </c>
    </row>
    <row r="113" spans="1:7" hidden="1" outlineLevel="1">
      <c r="A113" s="122" t="s">
        <v>391</v>
      </c>
      <c r="B113" s="123" t="s">
        <v>171</v>
      </c>
      <c r="C113" s="124">
        <v>8412.1666666666661</v>
      </c>
      <c r="D113" s="124">
        <v>-109278</v>
      </c>
      <c r="E113" s="124">
        <v>29218</v>
      </c>
      <c r="F113" s="124">
        <v>21255</v>
      </c>
      <c r="G113" s="124">
        <f t="shared" si="6"/>
        <v>100946</v>
      </c>
    </row>
    <row r="114" spans="1:7" hidden="1" outlineLevel="1">
      <c r="A114" s="122" t="s">
        <v>392</v>
      </c>
      <c r="B114" s="123" t="s">
        <v>174</v>
      </c>
      <c r="C114" s="124">
        <v>87627.333333333328</v>
      </c>
      <c r="D114" s="124">
        <v>177000</v>
      </c>
      <c r="E114" s="124">
        <v>276722</v>
      </c>
      <c r="F114" s="124">
        <v>249042</v>
      </c>
      <c r="G114" s="124">
        <f t="shared" si="6"/>
        <v>1051528</v>
      </c>
    </row>
    <row r="115" spans="1:7" hidden="1" outlineLevel="1">
      <c r="A115" s="122" t="s">
        <v>393</v>
      </c>
      <c r="B115" s="123" t="s">
        <v>177</v>
      </c>
      <c r="C115" s="124">
        <v>740.76199999999994</v>
      </c>
      <c r="D115" s="124">
        <v>13116</v>
      </c>
      <c r="E115" s="124">
        <v>8153</v>
      </c>
      <c r="F115" s="124">
        <v>2535</v>
      </c>
      <c r="G115" s="124">
        <f t="shared" si="6"/>
        <v>8889.1440000000002</v>
      </c>
    </row>
    <row r="116" spans="1:7" hidden="1" outlineLevel="1">
      <c r="A116" s="122" t="s">
        <v>394</v>
      </c>
      <c r="B116" s="123" t="s">
        <v>179</v>
      </c>
      <c r="C116" s="124">
        <v>1019.2</v>
      </c>
      <c r="D116" s="124">
        <v>9635</v>
      </c>
      <c r="E116" s="124">
        <v>-2918</v>
      </c>
      <c r="F116" s="124">
        <v>3822</v>
      </c>
      <c r="G116" s="124">
        <f t="shared" si="6"/>
        <v>12230.400000000001</v>
      </c>
    </row>
    <row r="117" spans="1:7" hidden="1" outlineLevel="1">
      <c r="A117" s="122" t="s">
        <v>395</v>
      </c>
      <c r="B117" s="123" t="s">
        <v>180</v>
      </c>
      <c r="C117" s="124">
        <v>15584.5</v>
      </c>
      <c r="D117" s="124">
        <v>29968</v>
      </c>
      <c r="E117" s="124">
        <v>44779</v>
      </c>
      <c r="F117" s="124">
        <v>48728</v>
      </c>
      <c r="G117" s="124">
        <f t="shared" si="6"/>
        <v>187014</v>
      </c>
    </row>
    <row r="118" spans="1:7" hidden="1" outlineLevel="1">
      <c r="A118" s="122" t="s">
        <v>396</v>
      </c>
      <c r="B118" s="123" t="s">
        <v>182</v>
      </c>
      <c r="C118" s="124">
        <v>19116.166666666668</v>
      </c>
      <c r="D118" s="124">
        <v>32238</v>
      </c>
      <c r="E118" s="124">
        <v>27245</v>
      </c>
      <c r="F118" s="124">
        <v>87452</v>
      </c>
      <c r="G118" s="124">
        <f t="shared" si="6"/>
        <v>229394</v>
      </c>
    </row>
    <row r="119" spans="1:7" hidden="1" outlineLevel="1">
      <c r="A119" s="122" t="s">
        <v>397</v>
      </c>
      <c r="B119" s="123" t="s">
        <v>183</v>
      </c>
      <c r="C119" s="124">
        <v>3221.6</v>
      </c>
      <c r="D119" s="124">
        <v>4374</v>
      </c>
      <c r="E119" s="124">
        <v>5428</v>
      </c>
      <c r="F119" s="124">
        <v>12159</v>
      </c>
      <c r="G119" s="124">
        <f t="shared" si="6"/>
        <v>38659.199999999997</v>
      </c>
    </row>
    <row r="120" spans="1:7" hidden="1" outlineLevel="1">
      <c r="A120" s="122" t="s">
        <v>398</v>
      </c>
      <c r="B120" s="123" t="s">
        <v>185</v>
      </c>
      <c r="C120" s="124">
        <v>5959.0199999999995</v>
      </c>
      <c r="D120" s="124">
        <v>18754</v>
      </c>
      <c r="E120" s="124">
        <v>56935</v>
      </c>
      <c r="F120" s="124">
        <v>3611.1</v>
      </c>
      <c r="G120" s="124">
        <f t="shared" si="6"/>
        <v>71508.239999999991</v>
      </c>
    </row>
    <row r="121" spans="1:7" hidden="1" outlineLevel="1">
      <c r="A121" s="122" t="s">
        <v>401</v>
      </c>
      <c r="B121" s="123" t="s">
        <v>190</v>
      </c>
      <c r="C121" s="124">
        <v>6663.8</v>
      </c>
      <c r="D121" s="124">
        <v>7689</v>
      </c>
      <c r="E121" s="124">
        <v>15378</v>
      </c>
      <c r="F121" s="124">
        <v>17941</v>
      </c>
      <c r="G121" s="124">
        <f t="shared" si="6"/>
        <v>79965.600000000006</v>
      </c>
    </row>
    <row r="122" spans="1:7" hidden="1" outlineLevel="1">
      <c r="A122" s="122" t="s">
        <v>402</v>
      </c>
      <c r="B122" s="123" t="s">
        <v>196</v>
      </c>
      <c r="C122" s="124">
        <v>16816.666666666668</v>
      </c>
      <c r="D122" s="124">
        <v>16470</v>
      </c>
      <c r="E122" s="124">
        <v>55645</v>
      </c>
      <c r="F122" s="124">
        <v>45255</v>
      </c>
      <c r="G122" s="124">
        <f t="shared" si="6"/>
        <v>201800</v>
      </c>
    </row>
    <row r="123" spans="1:7" hidden="1" outlineLevel="1">
      <c r="A123" s="122" t="s">
        <v>403</v>
      </c>
      <c r="B123" s="123" t="s">
        <v>197</v>
      </c>
      <c r="C123" s="124">
        <v>6983.666666666667</v>
      </c>
      <c r="D123" s="124">
        <v>16823</v>
      </c>
      <c r="E123" s="124">
        <v>18920</v>
      </c>
      <c r="F123" s="124">
        <v>22982</v>
      </c>
      <c r="G123" s="124">
        <f t="shared" si="6"/>
        <v>83804</v>
      </c>
    </row>
    <row r="124" spans="1:7" hidden="1" outlineLevel="1">
      <c r="A124" s="122" t="s">
        <v>404</v>
      </c>
      <c r="B124" s="123" t="s">
        <v>202</v>
      </c>
      <c r="C124" s="124">
        <v>28642.598333333332</v>
      </c>
      <c r="D124" s="124">
        <v>53850</v>
      </c>
      <c r="E124" s="124">
        <v>118678.81</v>
      </c>
      <c r="F124" s="124">
        <v>53176.78</v>
      </c>
      <c r="G124" s="124">
        <f>+C124*12*1.15</f>
        <v>395267.85699999996</v>
      </c>
    </row>
    <row r="125" spans="1:7" hidden="1" outlineLevel="1">
      <c r="A125" s="122" t="s">
        <v>405</v>
      </c>
      <c r="B125" s="123" t="s">
        <v>203</v>
      </c>
      <c r="C125" s="124">
        <v>1038075.5</v>
      </c>
      <c r="D125" s="124">
        <v>2075017</v>
      </c>
      <c r="E125" s="124">
        <v>2878975</v>
      </c>
      <c r="F125" s="124">
        <v>3349478</v>
      </c>
      <c r="G125" s="124">
        <f t="shared" si="6"/>
        <v>12456906</v>
      </c>
    </row>
    <row r="126" spans="1:7" hidden="1" outlineLevel="1">
      <c r="A126" s="122" t="s">
        <v>406</v>
      </c>
      <c r="B126" s="123" t="s">
        <v>204</v>
      </c>
      <c r="C126" s="124">
        <v>11008.963333333333</v>
      </c>
      <c r="D126" s="124">
        <v>10204.219999999999</v>
      </c>
      <c r="E126" s="124">
        <v>33371.78</v>
      </c>
      <c r="F126" s="124">
        <v>32682</v>
      </c>
      <c r="G126" s="124">
        <f>+C126*12*1.15</f>
        <v>151923.69399999999</v>
      </c>
    </row>
    <row r="127" spans="1:7" hidden="1" outlineLevel="1">
      <c r="A127" s="122" t="s">
        <v>407</v>
      </c>
      <c r="B127" s="123" t="s">
        <v>209</v>
      </c>
      <c r="C127" s="124">
        <v>35829.833333333336</v>
      </c>
      <c r="D127" s="124">
        <v>50432</v>
      </c>
      <c r="E127" s="124">
        <v>65582</v>
      </c>
      <c r="F127" s="124">
        <v>149397</v>
      </c>
      <c r="G127" s="124">
        <f t="shared" si="6"/>
        <v>429958</v>
      </c>
    </row>
    <row r="128" spans="1:7" hidden="1" outlineLevel="1">
      <c r="A128" s="122" t="s">
        <v>408</v>
      </c>
      <c r="B128" s="123" t="s">
        <v>211</v>
      </c>
      <c r="C128" s="124">
        <v>425859.5</v>
      </c>
      <c r="D128" s="124"/>
      <c r="E128" s="124">
        <v>1511272</v>
      </c>
      <c r="F128" s="124">
        <v>1043885</v>
      </c>
      <c r="G128" s="124">
        <f>+C128*12*1.03</f>
        <v>5263623.42</v>
      </c>
    </row>
    <row r="129" spans="1:7" hidden="1" outlineLevel="1">
      <c r="A129" s="122" t="s">
        <v>409</v>
      </c>
      <c r="B129" s="123" t="s">
        <v>212</v>
      </c>
      <c r="C129" s="124">
        <v>2795.4</v>
      </c>
      <c r="D129" s="124">
        <v>14260.21</v>
      </c>
      <c r="E129" s="124">
        <v>15458.79</v>
      </c>
      <c r="F129" s="124">
        <v>8849</v>
      </c>
      <c r="G129" s="124">
        <f t="shared" si="6"/>
        <v>33544.800000000003</v>
      </c>
    </row>
    <row r="130" spans="1:7" hidden="1" outlineLevel="1">
      <c r="A130" s="122" t="s">
        <v>410</v>
      </c>
      <c r="B130" s="123" t="s">
        <v>215</v>
      </c>
      <c r="C130" s="124">
        <v>650</v>
      </c>
      <c r="D130" s="124">
        <v>1300</v>
      </c>
      <c r="E130" s="124">
        <v>1950</v>
      </c>
      <c r="F130" s="124">
        <v>1950</v>
      </c>
      <c r="G130" s="124">
        <f t="shared" si="6"/>
        <v>7800</v>
      </c>
    </row>
    <row r="131" spans="1:7" hidden="1" outlineLevel="1">
      <c r="A131" s="122" t="s">
        <v>411</v>
      </c>
      <c r="B131" s="123" t="s">
        <v>216</v>
      </c>
      <c r="C131" s="124">
        <v>31812</v>
      </c>
      <c r="D131" s="124">
        <v>66215</v>
      </c>
      <c r="E131" s="124">
        <v>96812</v>
      </c>
      <c r="F131" s="124">
        <v>94060</v>
      </c>
      <c r="G131" s="124">
        <f t="shared" si="6"/>
        <v>381744</v>
      </c>
    </row>
    <row r="132" spans="1:7" hidden="1" outlineLevel="1">
      <c r="A132" s="122" t="s">
        <v>412</v>
      </c>
      <c r="B132" s="123" t="s">
        <v>218</v>
      </c>
      <c r="C132" s="124">
        <v>6533.2</v>
      </c>
      <c r="D132" s="124">
        <v>8192</v>
      </c>
      <c r="E132" s="124">
        <v>13382</v>
      </c>
      <c r="F132" s="124">
        <v>16127</v>
      </c>
      <c r="G132" s="124">
        <f t="shared" si="6"/>
        <v>78398.399999999994</v>
      </c>
    </row>
    <row r="133" spans="1:7" hidden="1" outlineLevel="1">
      <c r="A133" s="122" t="s">
        <v>413</v>
      </c>
      <c r="B133" s="123" t="s">
        <v>219</v>
      </c>
      <c r="C133" s="124">
        <v>45989.833333333336</v>
      </c>
      <c r="D133" s="124">
        <v>74632</v>
      </c>
      <c r="E133" s="124">
        <v>150053</v>
      </c>
      <c r="F133" s="124">
        <v>125886</v>
      </c>
      <c r="G133" s="124">
        <f t="shared" si="6"/>
        <v>551878</v>
      </c>
    </row>
    <row r="134" spans="1:7" hidden="1" outlineLevel="1">
      <c r="A134" s="122" t="s">
        <v>414</v>
      </c>
      <c r="B134" s="123" t="s">
        <v>224</v>
      </c>
      <c r="C134" s="124">
        <v>38369</v>
      </c>
      <c r="D134" s="124">
        <v>58843</v>
      </c>
      <c r="E134" s="124">
        <v>126435</v>
      </c>
      <c r="F134" s="124">
        <v>103779</v>
      </c>
      <c r="G134" s="124">
        <f t="shared" si="6"/>
        <v>460428</v>
      </c>
    </row>
    <row r="135" spans="1:7" hidden="1" outlineLevel="1">
      <c r="A135" s="122" t="s">
        <v>415</v>
      </c>
      <c r="B135" s="123" t="s">
        <v>226</v>
      </c>
      <c r="C135" s="124">
        <v>2287</v>
      </c>
      <c r="D135" s="124">
        <v>19121.57</v>
      </c>
      <c r="E135" s="124">
        <v>-1030.57</v>
      </c>
      <c r="F135" s="124">
        <v>11435</v>
      </c>
      <c r="G135" s="124">
        <f>+C135*12*1.1</f>
        <v>30188.400000000001</v>
      </c>
    </row>
    <row r="136" spans="1:7" hidden="1" outlineLevel="1">
      <c r="A136" s="122" t="s">
        <v>416</v>
      </c>
      <c r="B136" s="123" t="s">
        <v>227</v>
      </c>
      <c r="C136" s="124">
        <v>9406.5</v>
      </c>
      <c r="D136" s="124">
        <v>18636</v>
      </c>
      <c r="E136" s="124">
        <v>26481</v>
      </c>
      <c r="F136" s="124">
        <v>29958</v>
      </c>
      <c r="G136" s="124">
        <f t="shared" si="6"/>
        <v>112878</v>
      </c>
    </row>
    <row r="137" spans="1:7" hidden="1" outlineLevel="1">
      <c r="A137" s="122" t="s">
        <v>417</v>
      </c>
      <c r="B137" s="123" t="s">
        <v>230</v>
      </c>
      <c r="C137" s="124">
        <v>3252</v>
      </c>
      <c r="D137" s="124">
        <v>8937</v>
      </c>
      <c r="E137" s="124">
        <v>9313</v>
      </c>
      <c r="F137" s="124">
        <v>9279</v>
      </c>
      <c r="G137" s="124">
        <f t="shared" si="6"/>
        <v>39024</v>
      </c>
    </row>
    <row r="138" spans="1:7" hidden="1" outlineLevel="1">
      <c r="A138" s="122" t="s">
        <v>418</v>
      </c>
      <c r="B138" s="123" t="s">
        <v>231</v>
      </c>
      <c r="C138" s="124">
        <v>28798.666666666668</v>
      </c>
      <c r="D138" s="124">
        <v>47321</v>
      </c>
      <c r="E138" s="124">
        <v>73848</v>
      </c>
      <c r="F138" s="124">
        <v>98944</v>
      </c>
      <c r="G138" s="124">
        <f>+C138*12*1.05</f>
        <v>362863.2</v>
      </c>
    </row>
    <row r="139" spans="1:7" hidden="1" outlineLevel="1">
      <c r="A139" s="122" t="s">
        <v>482</v>
      </c>
      <c r="B139" s="123" t="s">
        <v>143</v>
      </c>
      <c r="C139" s="124">
        <v>5238.942</v>
      </c>
      <c r="D139" s="124">
        <v>1303.43</v>
      </c>
      <c r="E139" s="124">
        <v>8361.57</v>
      </c>
      <c r="F139" s="124">
        <v>13647.11</v>
      </c>
      <c r="G139" s="124">
        <f t="shared" si="6"/>
        <v>62867.304000000004</v>
      </c>
    </row>
    <row r="140" spans="1:7" hidden="1" outlineLevel="1">
      <c r="A140" s="122" t="s">
        <v>419</v>
      </c>
      <c r="B140" s="123" t="s">
        <v>232</v>
      </c>
      <c r="C140" s="124">
        <v>135075</v>
      </c>
      <c r="D140" s="124">
        <v>199376</v>
      </c>
      <c r="E140" s="124">
        <v>437240</v>
      </c>
      <c r="F140" s="124">
        <v>373210</v>
      </c>
      <c r="G140" s="124">
        <f t="shared" si="6"/>
        <v>1620900</v>
      </c>
    </row>
    <row r="141" spans="1:7" hidden="1" outlineLevel="1">
      <c r="A141" s="122" t="s">
        <v>563</v>
      </c>
      <c r="B141" s="123" t="s">
        <v>144</v>
      </c>
      <c r="C141" s="124">
        <v>10582.318333333335</v>
      </c>
      <c r="D141" s="124">
        <v>15548</v>
      </c>
      <c r="E141" s="124">
        <v>29904.91</v>
      </c>
      <c r="F141" s="124">
        <v>33589</v>
      </c>
      <c r="G141" s="124">
        <f t="shared" si="6"/>
        <v>126987.82</v>
      </c>
    </row>
    <row r="142" spans="1:7" hidden="1" outlineLevel="1">
      <c r="A142" s="122" t="s">
        <v>564</v>
      </c>
      <c r="B142" s="123" t="s">
        <v>565</v>
      </c>
      <c r="C142" s="124">
        <v>10900.2</v>
      </c>
      <c r="D142" s="124"/>
      <c r="E142" s="124"/>
      <c r="F142" s="124">
        <v>54501</v>
      </c>
      <c r="G142" s="124">
        <f t="shared" si="6"/>
        <v>130802.40000000001</v>
      </c>
    </row>
    <row r="143" spans="1:7" hidden="1" outlineLevel="1">
      <c r="A143" s="122" t="s">
        <v>566</v>
      </c>
      <c r="B143" s="123" t="s">
        <v>145</v>
      </c>
      <c r="C143" s="124">
        <v>23036.5</v>
      </c>
      <c r="D143" s="124">
        <v>27984</v>
      </c>
      <c r="E143" s="124">
        <v>56782</v>
      </c>
      <c r="F143" s="124">
        <v>81437</v>
      </c>
      <c r="G143" s="124">
        <f t="shared" si="6"/>
        <v>276438</v>
      </c>
    </row>
    <row r="144" spans="1:7" hidden="1" outlineLevel="1">
      <c r="A144" s="122" t="s">
        <v>567</v>
      </c>
      <c r="B144" s="123" t="s">
        <v>568</v>
      </c>
      <c r="C144" s="124">
        <v>6981.2</v>
      </c>
      <c r="D144" s="124"/>
      <c r="E144" s="124"/>
      <c r="F144" s="124">
        <v>34906</v>
      </c>
      <c r="G144" s="124">
        <f t="shared" si="6"/>
        <v>83774.399999999994</v>
      </c>
    </row>
    <row r="145" spans="1:7" hidden="1" outlineLevel="1">
      <c r="A145" s="122" t="s">
        <v>569</v>
      </c>
      <c r="B145" s="123" t="s">
        <v>146</v>
      </c>
      <c r="C145" s="124">
        <v>3807.4</v>
      </c>
      <c r="D145" s="124">
        <v>3576</v>
      </c>
      <c r="E145" s="124">
        <v>5790</v>
      </c>
      <c r="F145" s="124">
        <v>16262</v>
      </c>
      <c r="G145" s="124">
        <f t="shared" si="6"/>
        <v>45688.800000000003</v>
      </c>
    </row>
    <row r="146" spans="1:7" hidden="1" outlineLevel="1">
      <c r="A146" s="122" t="s">
        <v>570</v>
      </c>
      <c r="B146" s="123" t="s">
        <v>151</v>
      </c>
      <c r="C146" s="124">
        <v>324797.16666666669</v>
      </c>
      <c r="D146" s="124">
        <v>608169</v>
      </c>
      <c r="E146" s="124">
        <v>943678</v>
      </c>
      <c r="F146" s="124">
        <v>1005105</v>
      </c>
      <c r="G146" s="124">
        <f t="shared" si="6"/>
        <v>3897566</v>
      </c>
    </row>
    <row r="147" spans="1:7" hidden="1" outlineLevel="1">
      <c r="A147" s="122" t="s">
        <v>420</v>
      </c>
      <c r="B147" s="123" t="s">
        <v>233</v>
      </c>
      <c r="C147" s="124">
        <v>45437.166666666664</v>
      </c>
      <c r="D147" s="124">
        <v>40811</v>
      </c>
      <c r="E147" s="124">
        <v>141737</v>
      </c>
      <c r="F147" s="124">
        <v>130886</v>
      </c>
      <c r="G147" s="124">
        <f t="shared" si="6"/>
        <v>545246</v>
      </c>
    </row>
    <row r="148" spans="1:7" hidden="1" outlineLevel="1">
      <c r="A148" s="122" t="s">
        <v>421</v>
      </c>
      <c r="B148" s="123" t="s">
        <v>234</v>
      </c>
      <c r="C148" s="124">
        <v>16139.5</v>
      </c>
      <c r="D148" s="124">
        <v>29590</v>
      </c>
      <c r="E148" s="124">
        <v>45643</v>
      </c>
      <c r="F148" s="124">
        <v>51194</v>
      </c>
      <c r="G148" s="124">
        <f>+C148*12*1.05</f>
        <v>203357.7</v>
      </c>
    </row>
    <row r="149" spans="1:7" hidden="1" outlineLevel="1">
      <c r="A149" s="122" t="s">
        <v>571</v>
      </c>
      <c r="B149" s="123" t="s">
        <v>152</v>
      </c>
      <c r="C149" s="124">
        <v>61500.478333333333</v>
      </c>
      <c r="D149" s="124">
        <v>98619.13</v>
      </c>
      <c r="E149" s="124">
        <v>184813.87</v>
      </c>
      <c r="F149" s="124">
        <v>184189</v>
      </c>
      <c r="G149" s="124">
        <f t="shared" si="6"/>
        <v>738005.74</v>
      </c>
    </row>
    <row r="150" spans="1:7" hidden="1" outlineLevel="1">
      <c r="A150" s="122" t="s">
        <v>572</v>
      </c>
      <c r="B150" s="123" t="s">
        <v>154</v>
      </c>
      <c r="C150" s="124">
        <v>4809.833333333333</v>
      </c>
      <c r="D150" s="124">
        <v>10973</v>
      </c>
      <c r="E150" s="124">
        <v>16419</v>
      </c>
      <c r="F150" s="124">
        <v>12440</v>
      </c>
      <c r="G150" s="124">
        <f t="shared" si="6"/>
        <v>57718</v>
      </c>
    </row>
    <row r="151" spans="1:7" hidden="1" outlineLevel="1">
      <c r="A151" s="122" t="s">
        <v>573</v>
      </c>
      <c r="B151" s="123" t="s">
        <v>155</v>
      </c>
      <c r="C151" s="124">
        <v>97222.833333333328</v>
      </c>
      <c r="D151" s="124">
        <v>145065</v>
      </c>
      <c r="E151" s="124">
        <v>185630</v>
      </c>
      <c r="F151" s="124">
        <v>397707</v>
      </c>
      <c r="G151" s="124">
        <f t="shared" si="6"/>
        <v>1166674</v>
      </c>
    </row>
    <row r="152" spans="1:7" hidden="1" outlineLevel="1">
      <c r="A152" s="122" t="s">
        <v>422</v>
      </c>
      <c r="B152" s="123" t="s">
        <v>235</v>
      </c>
      <c r="C152" s="124">
        <v>3261.6</v>
      </c>
      <c r="D152" s="124">
        <v>3080</v>
      </c>
      <c r="E152" s="124">
        <v>9785</v>
      </c>
      <c r="F152" s="124">
        <v>9785</v>
      </c>
      <c r="G152" s="124">
        <f t="shared" si="6"/>
        <v>39139.199999999997</v>
      </c>
    </row>
    <row r="153" spans="1:7" hidden="1" outlineLevel="1">
      <c r="A153" s="122" t="s">
        <v>574</v>
      </c>
      <c r="B153" s="123" t="s">
        <v>157</v>
      </c>
      <c r="C153" s="124">
        <v>328136.74599999998</v>
      </c>
      <c r="D153" s="124">
        <v>547827.86</v>
      </c>
      <c r="E153" s="124">
        <v>146168.28</v>
      </c>
      <c r="F153" s="124">
        <v>1234408.75</v>
      </c>
      <c r="G153" s="124">
        <f>+C153*12*1.05</f>
        <v>4134522.9995999997</v>
      </c>
    </row>
    <row r="154" spans="1:7" hidden="1" outlineLevel="1">
      <c r="A154" s="122" t="s">
        <v>575</v>
      </c>
      <c r="B154" s="123" t="s">
        <v>158</v>
      </c>
      <c r="C154" s="124">
        <v>36238.666666666664</v>
      </c>
      <c r="D154" s="124">
        <v>29027</v>
      </c>
      <c r="E154" s="124">
        <v>39175</v>
      </c>
      <c r="F154" s="124">
        <v>178257</v>
      </c>
      <c r="G154" s="124">
        <f t="shared" ref="G154:G181" si="7">+C154*12</f>
        <v>434864</v>
      </c>
    </row>
    <row r="155" spans="1:7" hidden="1" outlineLevel="1">
      <c r="A155" s="122" t="s">
        <v>576</v>
      </c>
      <c r="B155" s="123" t="s">
        <v>160</v>
      </c>
      <c r="C155" s="124">
        <v>96994.4</v>
      </c>
      <c r="D155" s="124"/>
      <c r="E155" s="124">
        <v>45499</v>
      </c>
      <c r="F155" s="124">
        <v>439473</v>
      </c>
      <c r="G155" s="124">
        <f t="shared" si="7"/>
        <v>1163932.7999999998</v>
      </c>
    </row>
    <row r="156" spans="1:7" hidden="1" outlineLevel="1">
      <c r="A156" s="122" t="s">
        <v>423</v>
      </c>
      <c r="B156" s="123" t="s">
        <v>236</v>
      </c>
      <c r="C156" s="124">
        <v>25833.833333333332</v>
      </c>
      <c r="D156" s="124">
        <v>41426</v>
      </c>
      <c r="E156" s="124">
        <v>80546</v>
      </c>
      <c r="F156" s="124">
        <v>74457</v>
      </c>
      <c r="G156" s="124">
        <f t="shared" si="7"/>
        <v>310006</v>
      </c>
    </row>
    <row r="157" spans="1:7" hidden="1" outlineLevel="1">
      <c r="A157" s="122" t="s">
        <v>424</v>
      </c>
      <c r="B157" s="123" t="s">
        <v>237</v>
      </c>
      <c r="C157" s="124">
        <v>481859.83333333331</v>
      </c>
      <c r="D157" s="124">
        <v>885644</v>
      </c>
      <c r="E157" s="124">
        <v>1536602</v>
      </c>
      <c r="F157" s="124">
        <v>1354557</v>
      </c>
      <c r="G157" s="124">
        <f t="shared" si="7"/>
        <v>5782318</v>
      </c>
    </row>
    <row r="158" spans="1:7" hidden="1" outlineLevel="1">
      <c r="A158" s="122" t="s">
        <v>577</v>
      </c>
      <c r="B158" s="123" t="s">
        <v>161</v>
      </c>
      <c r="C158" s="124">
        <v>40428.666666666664</v>
      </c>
      <c r="D158" s="124">
        <v>85730</v>
      </c>
      <c r="E158" s="124">
        <v>84890</v>
      </c>
      <c r="F158" s="124">
        <v>157682</v>
      </c>
      <c r="G158" s="124">
        <f t="shared" si="7"/>
        <v>485144</v>
      </c>
    </row>
    <row r="159" spans="1:7" hidden="1" outlineLevel="1">
      <c r="A159" s="122" t="s">
        <v>425</v>
      </c>
      <c r="B159" s="123" t="s">
        <v>238</v>
      </c>
      <c r="C159" s="124">
        <v>5896</v>
      </c>
      <c r="D159" s="124"/>
      <c r="E159" s="124">
        <v>1760</v>
      </c>
      <c r="F159" s="124">
        <v>17688</v>
      </c>
      <c r="G159" s="124">
        <f t="shared" si="7"/>
        <v>70752</v>
      </c>
    </row>
    <row r="160" spans="1:7" hidden="1" outlineLevel="1">
      <c r="A160" s="122" t="s">
        <v>578</v>
      </c>
      <c r="B160" s="123" t="s">
        <v>162</v>
      </c>
      <c r="C160" s="124">
        <v>79716.031666666662</v>
      </c>
      <c r="D160" s="124">
        <v>26591.81</v>
      </c>
      <c r="E160" s="124">
        <v>303543.19</v>
      </c>
      <c r="F160" s="124">
        <v>174753</v>
      </c>
      <c r="G160" s="124">
        <f>+C160*12*1.05</f>
        <v>1004421.999</v>
      </c>
    </row>
    <row r="161" spans="1:7" hidden="1" outlineLevel="1">
      <c r="A161" s="122" t="s">
        <v>426</v>
      </c>
      <c r="B161" s="123" t="s">
        <v>239</v>
      </c>
      <c r="C161" s="124">
        <v>10747.166000000001</v>
      </c>
      <c r="D161" s="124">
        <v>17989.5</v>
      </c>
      <c r="E161" s="124">
        <v>27965</v>
      </c>
      <c r="F161" s="124">
        <v>53735.83</v>
      </c>
      <c r="G161" s="124">
        <f t="shared" si="7"/>
        <v>128965.99200000001</v>
      </c>
    </row>
    <row r="162" spans="1:7" hidden="1" outlineLevel="1">
      <c r="A162" s="122" t="s">
        <v>579</v>
      </c>
      <c r="B162" s="123" t="s">
        <v>164</v>
      </c>
      <c r="C162" s="124">
        <v>553</v>
      </c>
      <c r="D162" s="124">
        <v>834</v>
      </c>
      <c r="E162" s="124">
        <v>1770</v>
      </c>
      <c r="F162" s="124">
        <v>1558</v>
      </c>
      <c r="G162" s="124">
        <f t="shared" si="7"/>
        <v>6636</v>
      </c>
    </row>
    <row r="163" spans="1:7" hidden="1" outlineLevel="1">
      <c r="A163" s="122" t="s">
        <v>580</v>
      </c>
      <c r="B163" s="123" t="s">
        <v>166</v>
      </c>
      <c r="C163" s="124">
        <v>1145</v>
      </c>
      <c r="D163" s="124">
        <v>1653</v>
      </c>
      <c r="E163" s="124">
        <v>3014.46</v>
      </c>
      <c r="F163" s="124">
        <v>3708</v>
      </c>
      <c r="G163" s="124">
        <f t="shared" si="7"/>
        <v>13740</v>
      </c>
    </row>
    <row r="164" spans="1:7" hidden="1" outlineLevel="1">
      <c r="A164" s="122" t="s">
        <v>427</v>
      </c>
      <c r="B164" s="123" t="s">
        <v>240</v>
      </c>
      <c r="C164" s="124">
        <v>49060.648000000001</v>
      </c>
      <c r="D164" s="124"/>
      <c r="E164" s="124">
        <v>27817.06</v>
      </c>
      <c r="F164" s="124">
        <v>217597.24</v>
      </c>
      <c r="G164" s="124">
        <f>+C164*12*1.05</f>
        <v>618164.16480000014</v>
      </c>
    </row>
    <row r="165" spans="1:7" hidden="1" outlineLevel="1">
      <c r="A165" s="122" t="s">
        <v>428</v>
      </c>
      <c r="B165" s="123" t="s">
        <v>241</v>
      </c>
      <c r="C165" s="124">
        <v>95230.333333333328</v>
      </c>
      <c r="D165" s="124">
        <v>111852</v>
      </c>
      <c r="E165" s="124">
        <v>220633</v>
      </c>
      <c r="F165" s="124">
        <v>350749</v>
      </c>
      <c r="G165" s="124">
        <f t="shared" si="7"/>
        <v>1142764</v>
      </c>
    </row>
    <row r="166" spans="1:7" hidden="1" outlineLevel="1">
      <c r="A166" s="122" t="s">
        <v>429</v>
      </c>
      <c r="B166" s="123" t="s">
        <v>242</v>
      </c>
      <c r="C166" s="124">
        <v>20311.333333333332</v>
      </c>
      <c r="D166" s="124">
        <v>2803</v>
      </c>
      <c r="E166" s="124">
        <v>38947</v>
      </c>
      <c r="F166" s="124">
        <v>82921</v>
      </c>
      <c r="G166" s="124">
        <f t="shared" si="7"/>
        <v>243736</v>
      </c>
    </row>
    <row r="167" spans="1:7" hidden="1" outlineLevel="1">
      <c r="A167" s="122" t="s">
        <v>581</v>
      </c>
      <c r="B167" s="123" t="s">
        <v>168</v>
      </c>
      <c r="C167" s="124">
        <v>8116</v>
      </c>
      <c r="D167" s="124">
        <v>-5854</v>
      </c>
      <c r="E167" s="124">
        <v>29835</v>
      </c>
      <c r="F167" s="124">
        <v>18861</v>
      </c>
      <c r="G167" s="124">
        <f t="shared" si="7"/>
        <v>97392</v>
      </c>
    </row>
    <row r="168" spans="1:7" hidden="1" outlineLevel="1">
      <c r="A168" s="122" t="s">
        <v>582</v>
      </c>
      <c r="B168" s="123" t="s">
        <v>169</v>
      </c>
      <c r="C168" s="124">
        <v>71896</v>
      </c>
      <c r="D168" s="124">
        <v>138957</v>
      </c>
      <c r="E168" s="124">
        <v>125754</v>
      </c>
      <c r="F168" s="124">
        <v>305622</v>
      </c>
      <c r="G168" s="124">
        <f t="shared" si="7"/>
        <v>862752</v>
      </c>
    </row>
    <row r="169" spans="1:7" hidden="1" outlineLevel="1">
      <c r="A169" s="122" t="s">
        <v>430</v>
      </c>
      <c r="B169" s="123" t="s">
        <v>243</v>
      </c>
      <c r="C169" s="124">
        <v>663.6</v>
      </c>
      <c r="D169" s="124">
        <v>520</v>
      </c>
      <c r="E169" s="124">
        <v>2531</v>
      </c>
      <c r="F169" s="124">
        <v>2018</v>
      </c>
      <c r="G169" s="124">
        <f t="shared" si="7"/>
        <v>7963.2000000000007</v>
      </c>
    </row>
    <row r="170" spans="1:7" hidden="1" outlineLevel="1">
      <c r="A170" s="122" t="s">
        <v>431</v>
      </c>
      <c r="B170" s="123" t="s">
        <v>244</v>
      </c>
      <c r="C170" s="124">
        <v>970.2</v>
      </c>
      <c r="D170" s="124"/>
      <c r="E170" s="124">
        <v>1581</v>
      </c>
      <c r="F170" s="124">
        <v>3270</v>
      </c>
      <c r="G170" s="124">
        <f t="shared" si="7"/>
        <v>11642.400000000001</v>
      </c>
    </row>
    <row r="171" spans="1:7" hidden="1" outlineLevel="1">
      <c r="A171" s="122" t="s">
        <v>583</v>
      </c>
      <c r="B171" s="123" t="s">
        <v>172</v>
      </c>
      <c r="C171" s="124">
        <v>338857</v>
      </c>
      <c r="D171" s="124">
        <v>716145</v>
      </c>
      <c r="E171" s="124">
        <v>707349</v>
      </c>
      <c r="F171" s="124">
        <v>1016761</v>
      </c>
      <c r="G171" s="124">
        <f t="shared" si="7"/>
        <v>4066284</v>
      </c>
    </row>
    <row r="172" spans="1:7" hidden="1" outlineLevel="1">
      <c r="A172" s="122" t="s">
        <v>584</v>
      </c>
      <c r="B172" s="123" t="s">
        <v>173</v>
      </c>
      <c r="C172" s="124">
        <v>29888.333333333332</v>
      </c>
      <c r="D172" s="124">
        <v>52077.9</v>
      </c>
      <c r="E172" s="124">
        <v>78649</v>
      </c>
      <c r="F172" s="124">
        <v>100681</v>
      </c>
      <c r="G172" s="124">
        <f t="shared" si="7"/>
        <v>358660</v>
      </c>
    </row>
    <row r="173" spans="1:7" hidden="1" outlineLevel="1">
      <c r="A173" s="122" t="s">
        <v>432</v>
      </c>
      <c r="B173" s="123" t="s">
        <v>245</v>
      </c>
      <c r="C173" s="124">
        <v>294876.16666666669</v>
      </c>
      <c r="D173" s="124">
        <v>110799</v>
      </c>
      <c r="E173" s="124">
        <v>801062</v>
      </c>
      <c r="F173" s="124">
        <v>968195</v>
      </c>
      <c r="G173" s="124">
        <f>+C173*12*1.05</f>
        <v>3715439.7</v>
      </c>
    </row>
    <row r="174" spans="1:7" hidden="1" outlineLevel="1">
      <c r="A174" s="122" t="s">
        <v>585</v>
      </c>
      <c r="B174" s="123" t="s">
        <v>175</v>
      </c>
      <c r="C174" s="124">
        <v>4758.166666666667</v>
      </c>
      <c r="D174" s="124">
        <v>10670</v>
      </c>
      <c r="E174" s="124">
        <v>12921</v>
      </c>
      <c r="F174" s="124">
        <v>15628</v>
      </c>
      <c r="G174" s="124">
        <f t="shared" si="7"/>
        <v>57098</v>
      </c>
    </row>
    <row r="175" spans="1:7" hidden="1" outlineLevel="1">
      <c r="A175" s="122" t="s">
        <v>586</v>
      </c>
      <c r="B175" s="123" t="s">
        <v>176</v>
      </c>
      <c r="C175" s="124">
        <v>28321.166666666668</v>
      </c>
      <c r="D175" s="124">
        <v>16400</v>
      </c>
      <c r="E175" s="124">
        <v>85861</v>
      </c>
      <c r="F175" s="124">
        <v>84066</v>
      </c>
      <c r="G175" s="124">
        <f t="shared" si="7"/>
        <v>339854</v>
      </c>
    </row>
    <row r="176" spans="1:7" hidden="1" outlineLevel="1">
      <c r="A176" s="122" t="s">
        <v>587</v>
      </c>
      <c r="B176" s="123" t="s">
        <v>178</v>
      </c>
      <c r="C176" s="124">
        <v>13575.916666666666</v>
      </c>
      <c r="D176" s="124">
        <v>16449.5</v>
      </c>
      <c r="E176" s="124">
        <v>42344.5</v>
      </c>
      <c r="F176" s="124">
        <v>39111</v>
      </c>
      <c r="G176" s="124">
        <f t="shared" si="7"/>
        <v>162911</v>
      </c>
    </row>
    <row r="177" spans="1:7" hidden="1" outlineLevel="1">
      <c r="A177" s="122" t="s">
        <v>433</v>
      </c>
      <c r="B177" s="123" t="s">
        <v>248</v>
      </c>
      <c r="C177" s="124">
        <v>5187</v>
      </c>
      <c r="D177" s="124">
        <v>12454</v>
      </c>
      <c r="E177" s="124">
        <v>17192</v>
      </c>
      <c r="F177" s="124">
        <v>13930</v>
      </c>
      <c r="G177" s="124">
        <f t="shared" si="7"/>
        <v>62244</v>
      </c>
    </row>
    <row r="178" spans="1:7" hidden="1" outlineLevel="1">
      <c r="A178" s="122" t="s">
        <v>434</v>
      </c>
      <c r="B178" s="123" t="s">
        <v>249</v>
      </c>
      <c r="C178" s="124">
        <v>6941.6</v>
      </c>
      <c r="D178" s="124">
        <v>12342.2</v>
      </c>
      <c r="E178" s="124">
        <v>17966</v>
      </c>
      <c r="F178" s="124">
        <v>20176</v>
      </c>
      <c r="G178" s="124">
        <f t="shared" si="7"/>
        <v>83299.200000000012</v>
      </c>
    </row>
    <row r="179" spans="1:7" hidden="1" outlineLevel="1">
      <c r="A179" s="122" t="s">
        <v>483</v>
      </c>
      <c r="B179" s="123" t="s">
        <v>246</v>
      </c>
      <c r="C179" s="124">
        <v>1384.4</v>
      </c>
      <c r="D179" s="124"/>
      <c r="E179" s="124">
        <v>2727</v>
      </c>
      <c r="F179" s="124">
        <v>4195</v>
      </c>
      <c r="G179" s="124">
        <f t="shared" si="7"/>
        <v>16612.800000000003</v>
      </c>
    </row>
    <row r="180" spans="1:7" hidden="1" outlineLevel="1">
      <c r="A180" s="122" t="s">
        <v>435</v>
      </c>
      <c r="B180" s="123" t="s">
        <v>250</v>
      </c>
      <c r="C180" s="124">
        <v>6464.6</v>
      </c>
      <c r="D180" s="124">
        <v>11048</v>
      </c>
      <c r="E180" s="124">
        <v>22031</v>
      </c>
      <c r="F180" s="124">
        <v>18848</v>
      </c>
      <c r="G180" s="124">
        <f t="shared" si="7"/>
        <v>77575.200000000012</v>
      </c>
    </row>
    <row r="181" spans="1:7" hidden="1" outlineLevel="1">
      <c r="A181" s="122" t="s">
        <v>484</v>
      </c>
      <c r="B181" s="123" t="s">
        <v>247</v>
      </c>
      <c r="C181" s="124">
        <v>2529.1999999999998</v>
      </c>
      <c r="D181" s="124"/>
      <c r="E181" s="124">
        <v>3252</v>
      </c>
      <c r="F181" s="124">
        <v>9394</v>
      </c>
      <c r="G181" s="124">
        <f t="shared" si="7"/>
        <v>30350.399999999998</v>
      </c>
    </row>
    <row r="182" spans="1:7" hidden="1" outlineLevel="1">
      <c r="A182" s="122" t="s">
        <v>436</v>
      </c>
      <c r="B182" s="123" t="s">
        <v>251</v>
      </c>
      <c r="C182" s="124">
        <v>973861.33333333337</v>
      </c>
      <c r="D182" s="124">
        <v>1478767</v>
      </c>
      <c r="E182" s="124">
        <v>2855438</v>
      </c>
      <c r="F182" s="124">
        <v>2987730</v>
      </c>
      <c r="G182" s="124">
        <f>+C182*12*1.07</f>
        <v>12504379.520000001</v>
      </c>
    </row>
    <row r="183" spans="1:7" hidden="1" outlineLevel="1">
      <c r="A183" s="122" t="s">
        <v>437</v>
      </c>
      <c r="B183" s="123" t="s">
        <v>252</v>
      </c>
      <c r="C183" s="124">
        <v>75133</v>
      </c>
      <c r="D183" s="124">
        <v>75133</v>
      </c>
      <c r="E183" s="124">
        <v>330081</v>
      </c>
      <c r="F183" s="124">
        <v>-121567.56</v>
      </c>
      <c r="G183" s="124">
        <f t="shared" ref="G183:G240" si="8">+C183*12</f>
        <v>901596</v>
      </c>
    </row>
    <row r="184" spans="1:7" hidden="1" outlineLevel="1">
      <c r="A184" s="122" t="s">
        <v>438</v>
      </c>
      <c r="B184" s="123" t="s">
        <v>253</v>
      </c>
      <c r="C184" s="124">
        <v>60750.5</v>
      </c>
      <c r="D184" s="124"/>
      <c r="E184" s="124">
        <v>57050</v>
      </c>
      <c r="F184" s="124">
        <v>191846</v>
      </c>
      <c r="G184" s="124">
        <f t="shared" si="8"/>
        <v>729006</v>
      </c>
    </row>
    <row r="185" spans="1:7" hidden="1" outlineLevel="1">
      <c r="A185" s="122" t="s">
        <v>588</v>
      </c>
      <c r="B185" s="123" t="s">
        <v>181</v>
      </c>
      <c r="C185" s="124">
        <v>68704.513333333336</v>
      </c>
      <c r="D185" s="124">
        <v>98282.57</v>
      </c>
      <c r="E185" s="124">
        <v>202403.08</v>
      </c>
      <c r="F185" s="124">
        <v>209824</v>
      </c>
      <c r="G185" s="124">
        <f t="shared" si="8"/>
        <v>824454.16</v>
      </c>
    </row>
    <row r="186" spans="1:7" hidden="1" outlineLevel="1">
      <c r="A186" s="122" t="s">
        <v>439</v>
      </c>
      <c r="B186" s="123" t="s">
        <v>254</v>
      </c>
      <c r="C186" s="124">
        <v>2379.6</v>
      </c>
      <c r="D186" s="124">
        <v>2534</v>
      </c>
      <c r="E186" s="124">
        <v>4323</v>
      </c>
      <c r="F186" s="124">
        <v>8097</v>
      </c>
      <c r="G186" s="124">
        <f t="shared" si="8"/>
        <v>28555.199999999997</v>
      </c>
    </row>
    <row r="187" spans="1:7" hidden="1" outlineLevel="1">
      <c r="A187" s="122" t="s">
        <v>485</v>
      </c>
      <c r="B187" s="123" t="s">
        <v>184</v>
      </c>
      <c r="C187" s="124">
        <v>21454.833333333332</v>
      </c>
      <c r="D187" s="124">
        <v>10120</v>
      </c>
      <c r="E187" s="124">
        <v>59088</v>
      </c>
      <c r="F187" s="124">
        <v>69641</v>
      </c>
      <c r="G187" s="124">
        <f t="shared" si="8"/>
        <v>257458</v>
      </c>
    </row>
    <row r="188" spans="1:7" hidden="1" outlineLevel="1">
      <c r="A188" s="122" t="s">
        <v>589</v>
      </c>
      <c r="B188" s="123" t="s">
        <v>186</v>
      </c>
      <c r="C188" s="124">
        <v>91889.333333333328</v>
      </c>
      <c r="D188" s="124">
        <v>155751</v>
      </c>
      <c r="E188" s="124">
        <v>279639</v>
      </c>
      <c r="F188" s="124">
        <v>271697</v>
      </c>
      <c r="G188" s="124">
        <f t="shared" si="8"/>
        <v>1102672</v>
      </c>
    </row>
    <row r="189" spans="1:7" hidden="1" outlineLevel="1">
      <c r="A189" s="122" t="s">
        <v>590</v>
      </c>
      <c r="B189" s="123" t="s">
        <v>188</v>
      </c>
      <c r="C189" s="124">
        <v>1263.8</v>
      </c>
      <c r="D189" s="124"/>
      <c r="E189" s="124">
        <v>-524.77</v>
      </c>
      <c r="F189" s="124">
        <v>6319</v>
      </c>
      <c r="G189" s="124">
        <f>+C189*12*1.06</f>
        <v>16075.536</v>
      </c>
    </row>
    <row r="190" spans="1:7" hidden="1" outlineLevel="1">
      <c r="A190" s="122" t="s">
        <v>591</v>
      </c>
      <c r="B190" s="123" t="s">
        <v>189</v>
      </c>
      <c r="C190" s="124">
        <v>255351.46666666667</v>
      </c>
      <c r="D190" s="124">
        <v>475379.47</v>
      </c>
      <c r="E190" s="124">
        <v>618802.80000000005</v>
      </c>
      <c r="F190" s="124">
        <v>913306</v>
      </c>
      <c r="G190" s="124">
        <f t="shared" si="8"/>
        <v>3064217.6000000001</v>
      </c>
    </row>
    <row r="191" spans="1:7" hidden="1" outlineLevel="1">
      <c r="A191" s="122" t="s">
        <v>592</v>
      </c>
      <c r="B191" s="123" t="s">
        <v>191</v>
      </c>
      <c r="C191" s="124">
        <v>32299.5</v>
      </c>
      <c r="D191" s="124">
        <v>61136</v>
      </c>
      <c r="E191" s="124">
        <v>102484</v>
      </c>
      <c r="F191" s="124">
        <v>91313</v>
      </c>
      <c r="G191" s="124">
        <f t="shared" si="8"/>
        <v>387594</v>
      </c>
    </row>
    <row r="192" spans="1:7" hidden="1" outlineLevel="1">
      <c r="A192" s="122" t="s">
        <v>593</v>
      </c>
      <c r="B192" s="123" t="s">
        <v>192</v>
      </c>
      <c r="C192" s="124">
        <v>6260</v>
      </c>
      <c r="D192" s="124">
        <v>12244</v>
      </c>
      <c r="E192" s="124">
        <v>12376</v>
      </c>
      <c r="F192" s="124">
        <v>20068</v>
      </c>
      <c r="G192" s="124">
        <f t="shared" si="8"/>
        <v>75120</v>
      </c>
    </row>
    <row r="193" spans="1:7" hidden="1" outlineLevel="1">
      <c r="A193" s="122" t="s">
        <v>440</v>
      </c>
      <c r="B193" s="123" t="s">
        <v>255</v>
      </c>
      <c r="C193" s="124">
        <v>8118.6</v>
      </c>
      <c r="D193" s="124">
        <v>9472</v>
      </c>
      <c r="E193" s="124">
        <v>13343</v>
      </c>
      <c r="F193" s="124">
        <v>27250</v>
      </c>
      <c r="G193" s="124">
        <f t="shared" si="8"/>
        <v>97423.200000000012</v>
      </c>
    </row>
    <row r="194" spans="1:7" hidden="1" outlineLevel="1">
      <c r="A194" s="122" t="s">
        <v>594</v>
      </c>
      <c r="B194" s="123" t="s">
        <v>193</v>
      </c>
      <c r="C194" s="124">
        <v>1388.8</v>
      </c>
      <c r="D194" s="124">
        <v>4069.35</v>
      </c>
      <c r="E194" s="124">
        <v>-6668.35</v>
      </c>
      <c r="F194" s="124">
        <v>12104</v>
      </c>
      <c r="G194" s="124">
        <f t="shared" si="8"/>
        <v>16665.599999999999</v>
      </c>
    </row>
    <row r="195" spans="1:7" hidden="1" outlineLevel="1">
      <c r="A195" s="122" t="s">
        <v>595</v>
      </c>
      <c r="B195" s="123" t="s">
        <v>194</v>
      </c>
      <c r="C195" s="124">
        <v>41406.028333333328</v>
      </c>
      <c r="D195" s="124">
        <v>23904.83</v>
      </c>
      <c r="E195" s="124">
        <v>60453.17</v>
      </c>
      <c r="F195" s="124">
        <v>187983</v>
      </c>
      <c r="G195" s="124">
        <f t="shared" si="8"/>
        <v>496872.33999999997</v>
      </c>
    </row>
    <row r="196" spans="1:7" hidden="1" outlineLevel="1">
      <c r="A196" s="122" t="s">
        <v>441</v>
      </c>
      <c r="B196" s="123" t="s">
        <v>256</v>
      </c>
      <c r="C196" s="124">
        <v>1943745.8333333333</v>
      </c>
      <c r="D196" s="124">
        <v>3329995.6</v>
      </c>
      <c r="E196" s="124">
        <v>5932711</v>
      </c>
      <c r="F196" s="124">
        <v>5729764</v>
      </c>
      <c r="G196" s="124">
        <f>+C196*12*1.08</f>
        <v>25190946</v>
      </c>
    </row>
    <row r="197" spans="1:7" hidden="1" outlineLevel="1">
      <c r="A197" s="122" t="s">
        <v>442</v>
      </c>
      <c r="B197" s="123" t="s">
        <v>257</v>
      </c>
      <c r="C197" s="124">
        <v>29839.166666666668</v>
      </c>
      <c r="D197" s="124">
        <v>42014</v>
      </c>
      <c r="E197" s="124">
        <v>75592</v>
      </c>
      <c r="F197" s="124">
        <v>103443</v>
      </c>
      <c r="G197" s="124">
        <f>+C197*12*1.05</f>
        <v>375973.5</v>
      </c>
    </row>
    <row r="198" spans="1:7" hidden="1" outlineLevel="1">
      <c r="A198" s="122" t="s">
        <v>486</v>
      </c>
      <c r="B198" s="123" t="s">
        <v>195</v>
      </c>
      <c r="C198" s="124">
        <v>50735.306666666664</v>
      </c>
      <c r="D198" s="124">
        <v>95307</v>
      </c>
      <c r="E198" s="124">
        <v>111143.84</v>
      </c>
      <c r="F198" s="124">
        <v>193268</v>
      </c>
      <c r="G198" s="124">
        <f t="shared" si="8"/>
        <v>608823.67999999993</v>
      </c>
    </row>
    <row r="199" spans="1:7" hidden="1" outlineLevel="1">
      <c r="A199" s="122" t="s">
        <v>443</v>
      </c>
      <c r="B199" s="123" t="s">
        <v>258</v>
      </c>
      <c r="C199" s="124">
        <v>190841.83333333334</v>
      </c>
      <c r="D199" s="124">
        <v>283169</v>
      </c>
      <c r="E199" s="124">
        <v>445803</v>
      </c>
      <c r="F199" s="124">
        <v>699248</v>
      </c>
      <c r="G199" s="124">
        <f t="shared" si="8"/>
        <v>2290102</v>
      </c>
    </row>
    <row r="200" spans="1:7" hidden="1" outlineLevel="1">
      <c r="A200" s="122" t="s">
        <v>596</v>
      </c>
      <c r="B200" s="123" t="s">
        <v>198</v>
      </c>
      <c r="C200" s="124">
        <v>4116</v>
      </c>
      <c r="D200" s="124">
        <v>13489</v>
      </c>
      <c r="E200" s="124">
        <v>16659</v>
      </c>
      <c r="F200" s="124">
        <v>8037</v>
      </c>
      <c r="G200" s="124">
        <f t="shared" si="8"/>
        <v>49392</v>
      </c>
    </row>
    <row r="201" spans="1:7" hidden="1" outlineLevel="1">
      <c r="A201" s="122" t="s">
        <v>597</v>
      </c>
      <c r="B201" s="123" t="s">
        <v>199</v>
      </c>
      <c r="C201" s="124">
        <v>186091.5</v>
      </c>
      <c r="D201" s="124">
        <v>167486</v>
      </c>
      <c r="E201" s="124">
        <v>635436</v>
      </c>
      <c r="F201" s="124">
        <v>481113</v>
      </c>
      <c r="G201" s="124">
        <f t="shared" si="8"/>
        <v>2233098</v>
      </c>
    </row>
    <row r="202" spans="1:7" hidden="1" outlineLevel="1">
      <c r="A202" s="122" t="s">
        <v>487</v>
      </c>
      <c r="B202" s="123" t="s">
        <v>200</v>
      </c>
      <c r="C202" s="124">
        <v>3732.6</v>
      </c>
      <c r="D202" s="124">
        <v>4845</v>
      </c>
      <c r="E202" s="124">
        <v>7765</v>
      </c>
      <c r="F202" s="124">
        <v>12826</v>
      </c>
      <c r="G202" s="124">
        <f t="shared" si="8"/>
        <v>44791.199999999997</v>
      </c>
    </row>
    <row r="203" spans="1:7" hidden="1" outlineLevel="1">
      <c r="A203" s="122" t="s">
        <v>444</v>
      </c>
      <c r="B203" s="123" t="s">
        <v>259</v>
      </c>
      <c r="C203" s="124">
        <v>1150.328</v>
      </c>
      <c r="D203" s="124">
        <v>806</v>
      </c>
      <c r="E203" s="124">
        <v>2870.37</v>
      </c>
      <c r="F203" s="124">
        <v>2881.27</v>
      </c>
      <c r="G203" s="124">
        <f t="shared" si="8"/>
        <v>13803.936</v>
      </c>
    </row>
    <row r="204" spans="1:7" hidden="1" outlineLevel="1">
      <c r="A204" s="122" t="s">
        <v>598</v>
      </c>
      <c r="B204" s="123" t="s">
        <v>201</v>
      </c>
      <c r="C204" s="124">
        <v>1940822.1666666667</v>
      </c>
      <c r="D204" s="124">
        <v>950737.95</v>
      </c>
      <c r="E204" s="124">
        <v>6116948</v>
      </c>
      <c r="F204" s="124">
        <v>5527985</v>
      </c>
      <c r="G204" s="124">
        <f t="shared" si="8"/>
        <v>23289866</v>
      </c>
    </row>
    <row r="205" spans="1:7" hidden="1" outlineLevel="1">
      <c r="A205" s="122" t="s">
        <v>445</v>
      </c>
      <c r="B205" s="123" t="s">
        <v>260</v>
      </c>
      <c r="C205" s="124">
        <v>217425.25</v>
      </c>
      <c r="D205" s="124">
        <v>305641</v>
      </c>
      <c r="E205" s="124">
        <v>466389</v>
      </c>
      <c r="F205" s="124">
        <v>615540</v>
      </c>
      <c r="G205" s="124">
        <f>+C205*12*1.1</f>
        <v>2870013.3000000003</v>
      </c>
    </row>
    <row r="206" spans="1:7" hidden="1" outlineLevel="1">
      <c r="A206" s="122" t="s">
        <v>446</v>
      </c>
      <c r="B206" s="123" t="s">
        <v>261</v>
      </c>
      <c r="C206" s="124">
        <v>67032.166666666672</v>
      </c>
      <c r="D206" s="124">
        <v>104979</v>
      </c>
      <c r="E206" s="124">
        <v>159046</v>
      </c>
      <c r="F206" s="124">
        <v>243147</v>
      </c>
      <c r="G206" s="124">
        <f>+C206*12*1.05</f>
        <v>844605.3</v>
      </c>
    </row>
    <row r="207" spans="1:7" hidden="1" outlineLevel="1">
      <c r="A207" s="122" t="s">
        <v>599</v>
      </c>
      <c r="B207" s="123" t="s">
        <v>205</v>
      </c>
      <c r="C207" s="124">
        <v>8283.6116666666658</v>
      </c>
      <c r="D207" s="124">
        <v>328</v>
      </c>
      <c r="E207" s="124">
        <v>16743</v>
      </c>
      <c r="F207" s="124">
        <v>32958.67</v>
      </c>
      <c r="G207" s="124">
        <f t="shared" si="8"/>
        <v>99403.34</v>
      </c>
    </row>
    <row r="208" spans="1:7" hidden="1" outlineLevel="1">
      <c r="A208" s="122" t="s">
        <v>600</v>
      </c>
      <c r="B208" s="123" t="s">
        <v>601</v>
      </c>
      <c r="C208" s="124">
        <v>19056.2</v>
      </c>
      <c r="D208" s="124"/>
      <c r="E208" s="124"/>
      <c r="F208" s="124">
        <v>95281</v>
      </c>
      <c r="G208" s="124">
        <f t="shared" si="8"/>
        <v>228674.40000000002</v>
      </c>
    </row>
    <row r="209" spans="1:7" hidden="1" outlineLevel="1">
      <c r="A209" s="122" t="s">
        <v>602</v>
      </c>
      <c r="B209" s="123" t="s">
        <v>206</v>
      </c>
      <c r="C209" s="124">
        <v>18490.5</v>
      </c>
      <c r="D209" s="124"/>
      <c r="E209" s="124">
        <v>6045</v>
      </c>
      <c r="F209" s="124">
        <v>104898</v>
      </c>
      <c r="G209" s="124">
        <f t="shared" si="8"/>
        <v>221886</v>
      </c>
    </row>
    <row r="210" spans="1:7" hidden="1" outlineLevel="1">
      <c r="A210" s="122" t="s">
        <v>603</v>
      </c>
      <c r="B210" s="123" t="s">
        <v>207</v>
      </c>
      <c r="C210" s="124">
        <v>209780.66666666666</v>
      </c>
      <c r="D210" s="124">
        <v>265018</v>
      </c>
      <c r="E210" s="124">
        <v>851592</v>
      </c>
      <c r="F210" s="124">
        <v>407092</v>
      </c>
      <c r="G210" s="124">
        <f>+C210*12*1.04</f>
        <v>2618062.7200000002</v>
      </c>
    </row>
    <row r="211" spans="1:7" hidden="1" outlineLevel="1">
      <c r="A211" s="122" t="s">
        <v>447</v>
      </c>
      <c r="B211" s="123" t="s">
        <v>262</v>
      </c>
      <c r="C211" s="124">
        <v>122020.82399999999</v>
      </c>
      <c r="D211" s="124"/>
      <c r="E211" s="124"/>
      <c r="F211" s="124">
        <v>610104.12</v>
      </c>
      <c r="G211" s="124">
        <f t="shared" si="8"/>
        <v>1464249.8879999998</v>
      </c>
    </row>
    <row r="212" spans="1:7" hidden="1" outlineLevel="1">
      <c r="A212" s="122" t="s">
        <v>604</v>
      </c>
      <c r="B212" s="123" t="s">
        <v>208</v>
      </c>
      <c r="C212" s="124">
        <v>28595.5</v>
      </c>
      <c r="D212" s="124">
        <v>41440</v>
      </c>
      <c r="E212" s="124">
        <v>83534</v>
      </c>
      <c r="F212" s="124">
        <v>88039</v>
      </c>
      <c r="G212" s="124">
        <f t="shared" si="8"/>
        <v>343146</v>
      </c>
    </row>
    <row r="213" spans="1:7" hidden="1" outlineLevel="1">
      <c r="A213" s="122" t="s">
        <v>448</v>
      </c>
      <c r="B213" s="123" t="s">
        <v>263</v>
      </c>
      <c r="C213" s="124">
        <v>8192</v>
      </c>
      <c r="D213" s="124">
        <v>6630</v>
      </c>
      <c r="E213" s="124">
        <v>35656</v>
      </c>
      <c r="F213" s="124">
        <v>21709</v>
      </c>
      <c r="G213" s="124">
        <f t="shared" si="8"/>
        <v>98304</v>
      </c>
    </row>
    <row r="214" spans="1:7" hidden="1" outlineLevel="1">
      <c r="A214" s="122" t="s">
        <v>449</v>
      </c>
      <c r="B214" s="123" t="s">
        <v>264</v>
      </c>
      <c r="C214" s="124">
        <v>33815.125</v>
      </c>
      <c r="D214" s="124">
        <v>53109</v>
      </c>
      <c r="E214" s="124">
        <v>101820</v>
      </c>
      <c r="F214" s="124">
        <v>101070.75</v>
      </c>
      <c r="G214" s="124">
        <f t="shared" si="8"/>
        <v>405781.5</v>
      </c>
    </row>
    <row r="215" spans="1:7" hidden="1" outlineLevel="1">
      <c r="A215" s="122" t="s">
        <v>605</v>
      </c>
      <c r="B215" s="123" t="s">
        <v>480</v>
      </c>
      <c r="C215" s="124">
        <v>3582.8</v>
      </c>
      <c r="D215" s="124"/>
      <c r="E215" s="124"/>
      <c r="F215" s="124">
        <v>17914</v>
      </c>
      <c r="G215" s="124">
        <f t="shared" si="8"/>
        <v>42993.600000000006</v>
      </c>
    </row>
    <row r="216" spans="1:7" hidden="1" outlineLevel="1">
      <c r="A216" s="122" t="s">
        <v>606</v>
      </c>
      <c r="B216" s="123" t="s">
        <v>210</v>
      </c>
      <c r="C216" s="124">
        <v>184784.5</v>
      </c>
      <c r="D216" s="124">
        <v>10396</v>
      </c>
      <c r="E216" s="124">
        <v>406057</v>
      </c>
      <c r="F216" s="124">
        <v>702650</v>
      </c>
      <c r="G216" s="124">
        <f>+C216*12*1.05</f>
        <v>2328284.7000000002</v>
      </c>
    </row>
    <row r="217" spans="1:7" hidden="1" outlineLevel="1">
      <c r="A217" s="122" t="s">
        <v>450</v>
      </c>
      <c r="B217" s="123" t="s">
        <v>265</v>
      </c>
      <c r="C217" s="124">
        <v>38495.666666666664</v>
      </c>
      <c r="D217" s="124">
        <v>65071</v>
      </c>
      <c r="E217" s="124">
        <v>141169</v>
      </c>
      <c r="F217" s="124">
        <v>89805</v>
      </c>
      <c r="G217" s="124">
        <f t="shared" si="8"/>
        <v>461948</v>
      </c>
    </row>
    <row r="218" spans="1:7" hidden="1" outlineLevel="1">
      <c r="A218" s="122" t="s">
        <v>607</v>
      </c>
      <c r="B218" s="123" t="s">
        <v>214</v>
      </c>
      <c r="C218" s="124">
        <v>14736.333333333334</v>
      </c>
      <c r="D218" s="124">
        <v>30335</v>
      </c>
      <c r="E218" s="124">
        <v>40972</v>
      </c>
      <c r="F218" s="124">
        <v>47446</v>
      </c>
      <c r="G218" s="124">
        <f t="shared" si="8"/>
        <v>176836</v>
      </c>
    </row>
    <row r="219" spans="1:7" hidden="1" outlineLevel="1">
      <c r="A219" s="122" t="s">
        <v>608</v>
      </c>
      <c r="B219" s="123" t="s">
        <v>213</v>
      </c>
      <c r="C219" s="124">
        <v>14770.333333333334</v>
      </c>
      <c r="D219" s="124">
        <v>27589</v>
      </c>
      <c r="E219" s="124">
        <v>43413</v>
      </c>
      <c r="F219" s="124">
        <v>45209</v>
      </c>
      <c r="G219" s="124">
        <f t="shared" si="8"/>
        <v>177244</v>
      </c>
    </row>
    <row r="220" spans="1:7" hidden="1" outlineLevel="1">
      <c r="A220" s="122" t="s">
        <v>451</v>
      </c>
      <c r="B220" s="123" t="s">
        <v>266</v>
      </c>
      <c r="C220" s="124">
        <v>72767</v>
      </c>
      <c r="D220" s="124">
        <v>164954</v>
      </c>
      <c r="E220" s="124">
        <v>230393</v>
      </c>
      <c r="F220" s="124">
        <v>206209</v>
      </c>
      <c r="G220" s="124">
        <f t="shared" si="8"/>
        <v>873204</v>
      </c>
    </row>
    <row r="221" spans="1:7" hidden="1" outlineLevel="1">
      <c r="A221" s="122" t="s">
        <v>452</v>
      </c>
      <c r="B221" s="123" t="s">
        <v>267</v>
      </c>
      <c r="C221" s="124">
        <v>126391.5</v>
      </c>
      <c r="D221" s="124">
        <v>215510</v>
      </c>
      <c r="E221" s="124">
        <v>366347</v>
      </c>
      <c r="F221" s="124">
        <v>392002</v>
      </c>
      <c r="G221" s="124">
        <f t="shared" si="8"/>
        <v>1516698</v>
      </c>
    </row>
    <row r="222" spans="1:7" hidden="1" outlineLevel="1">
      <c r="A222" s="122" t="s">
        <v>609</v>
      </c>
      <c r="B222" s="123" t="s">
        <v>217</v>
      </c>
      <c r="C222" s="124">
        <v>22498.561999999998</v>
      </c>
      <c r="D222" s="124">
        <v>6056</v>
      </c>
      <c r="E222" s="124">
        <v>87181</v>
      </c>
      <c r="F222" s="124">
        <v>57492.81</v>
      </c>
      <c r="G222" s="124">
        <f t="shared" si="8"/>
        <v>269982.74399999995</v>
      </c>
    </row>
    <row r="223" spans="1:7" hidden="1" outlineLevel="1">
      <c r="A223" s="122" t="s">
        <v>453</v>
      </c>
      <c r="B223" s="123" t="s">
        <v>268</v>
      </c>
      <c r="C223" s="124">
        <v>13271</v>
      </c>
      <c r="D223" s="124"/>
      <c r="E223" s="124">
        <v>106181</v>
      </c>
      <c r="F223" s="124">
        <v>-53097</v>
      </c>
      <c r="G223" s="124">
        <f t="shared" si="8"/>
        <v>159252</v>
      </c>
    </row>
    <row r="224" spans="1:7" hidden="1" outlineLevel="1">
      <c r="A224" s="122" t="s">
        <v>454</v>
      </c>
      <c r="B224" s="123" t="s">
        <v>269</v>
      </c>
      <c r="C224" s="124">
        <v>3602.75</v>
      </c>
      <c r="D224" s="124">
        <v>6517</v>
      </c>
      <c r="E224" s="124">
        <v>6801</v>
      </c>
      <c r="F224" s="124">
        <v>10373</v>
      </c>
      <c r="G224" s="124">
        <f t="shared" si="8"/>
        <v>43233</v>
      </c>
    </row>
    <row r="225" spans="1:7" hidden="1" outlineLevel="1">
      <c r="A225" s="122" t="s">
        <v>455</v>
      </c>
      <c r="B225" s="123" t="s">
        <v>270</v>
      </c>
      <c r="C225" s="124">
        <v>23775.333333333332</v>
      </c>
      <c r="D225" s="124">
        <v>44773</v>
      </c>
      <c r="E225" s="124">
        <v>64542</v>
      </c>
      <c r="F225" s="124">
        <v>78110</v>
      </c>
      <c r="G225" s="124">
        <f t="shared" si="8"/>
        <v>285304</v>
      </c>
    </row>
    <row r="226" spans="1:7" hidden="1" outlineLevel="1">
      <c r="A226" s="122" t="s">
        <v>610</v>
      </c>
      <c r="B226" s="123" t="s">
        <v>220</v>
      </c>
      <c r="C226" s="124">
        <v>147604.33333333334</v>
      </c>
      <c r="D226" s="124">
        <v>236250</v>
      </c>
      <c r="E226" s="124">
        <v>441853</v>
      </c>
      <c r="F226" s="124">
        <v>443773</v>
      </c>
      <c r="G226" s="124">
        <f t="shared" si="8"/>
        <v>1771252</v>
      </c>
    </row>
    <row r="227" spans="1:7" hidden="1" outlineLevel="1">
      <c r="A227" s="122" t="s">
        <v>611</v>
      </c>
      <c r="B227" s="123" t="s">
        <v>221</v>
      </c>
      <c r="C227" s="124">
        <v>25436.553333333333</v>
      </c>
      <c r="D227" s="124">
        <v>25072</v>
      </c>
      <c r="E227" s="124">
        <v>72104.320000000007</v>
      </c>
      <c r="F227" s="124">
        <v>80515</v>
      </c>
      <c r="G227" s="124">
        <f>+C227*12*1.03</f>
        <v>314395.79920000001</v>
      </c>
    </row>
    <row r="228" spans="1:7" hidden="1" outlineLevel="1">
      <c r="A228" s="122" t="s">
        <v>612</v>
      </c>
      <c r="B228" s="123" t="s">
        <v>222</v>
      </c>
      <c r="C228" s="124">
        <v>34196.166666666664</v>
      </c>
      <c r="D228" s="124">
        <v>65095</v>
      </c>
      <c r="E228" s="124">
        <v>97472</v>
      </c>
      <c r="F228" s="124">
        <v>107705</v>
      </c>
      <c r="G228" s="124">
        <f t="shared" si="8"/>
        <v>410354</v>
      </c>
    </row>
    <row r="229" spans="1:7" hidden="1" outlineLevel="1">
      <c r="A229" s="122" t="s">
        <v>456</v>
      </c>
      <c r="B229" s="123" t="s">
        <v>271</v>
      </c>
      <c r="C229" s="124">
        <v>37536.833333333336</v>
      </c>
      <c r="D229" s="124">
        <v>30989</v>
      </c>
      <c r="E229" s="124">
        <v>105251</v>
      </c>
      <c r="F229" s="124">
        <v>119970</v>
      </c>
      <c r="G229" s="124">
        <f t="shared" si="8"/>
        <v>450442</v>
      </c>
    </row>
    <row r="230" spans="1:7" hidden="1" outlineLevel="1">
      <c r="A230" s="122" t="s">
        <v>613</v>
      </c>
      <c r="B230" s="123" t="s">
        <v>223</v>
      </c>
      <c r="C230" s="124">
        <v>207560.66666666666</v>
      </c>
      <c r="D230" s="124">
        <v>449956.16</v>
      </c>
      <c r="E230" s="124">
        <v>573926</v>
      </c>
      <c r="F230" s="124">
        <v>671438</v>
      </c>
      <c r="G230" s="124">
        <f t="shared" si="8"/>
        <v>2490728</v>
      </c>
    </row>
    <row r="231" spans="1:7" hidden="1" outlineLevel="1">
      <c r="A231" s="122" t="s">
        <v>614</v>
      </c>
      <c r="B231" s="123" t="s">
        <v>225</v>
      </c>
      <c r="C231" s="124">
        <v>366971</v>
      </c>
      <c r="D231" s="124">
        <v>571662</v>
      </c>
      <c r="E231" s="124">
        <v>1009491</v>
      </c>
      <c r="F231" s="124">
        <v>1192335</v>
      </c>
      <c r="G231" s="124">
        <f t="shared" si="8"/>
        <v>4403652</v>
      </c>
    </row>
    <row r="232" spans="1:7" hidden="1" outlineLevel="1">
      <c r="A232" s="122" t="s">
        <v>615</v>
      </c>
      <c r="B232" s="123" t="s">
        <v>228</v>
      </c>
      <c r="C232" s="124">
        <v>3506</v>
      </c>
      <c r="D232" s="124">
        <v>6252</v>
      </c>
      <c r="E232" s="124">
        <v>10327</v>
      </c>
      <c r="F232" s="124">
        <v>10709</v>
      </c>
      <c r="G232" s="124">
        <f t="shared" si="8"/>
        <v>42072</v>
      </c>
    </row>
    <row r="233" spans="1:7" hidden="1" outlineLevel="1">
      <c r="A233" s="122" t="s">
        <v>616</v>
      </c>
      <c r="B233" s="123" t="s">
        <v>229</v>
      </c>
      <c r="C233" s="124">
        <v>49676.833333333336</v>
      </c>
      <c r="D233" s="124">
        <v>92585</v>
      </c>
      <c r="E233" s="124">
        <v>156980</v>
      </c>
      <c r="F233" s="124">
        <v>141081</v>
      </c>
      <c r="G233" s="124">
        <f t="shared" si="8"/>
        <v>596122</v>
      </c>
    </row>
    <row r="234" spans="1:7" hidden="1" outlineLevel="1">
      <c r="A234" s="122" t="s">
        <v>457</v>
      </c>
      <c r="B234" s="123" t="s">
        <v>272</v>
      </c>
      <c r="C234" s="124">
        <v>96284.166666666672</v>
      </c>
      <c r="D234" s="124">
        <v>187354</v>
      </c>
      <c r="E234" s="124">
        <v>297604</v>
      </c>
      <c r="F234" s="124">
        <v>280101</v>
      </c>
      <c r="G234" s="124">
        <f t="shared" si="8"/>
        <v>1155410</v>
      </c>
    </row>
    <row r="235" spans="1:7" ht="25.5" hidden="1" outlineLevel="1">
      <c r="A235" s="122" t="s">
        <v>273</v>
      </c>
      <c r="B235" s="123" t="s">
        <v>274</v>
      </c>
      <c r="C235" s="124">
        <v>1328550.7480000001</v>
      </c>
      <c r="D235" s="124">
        <v>2603515</v>
      </c>
      <c r="E235" s="124">
        <v>3199129.16</v>
      </c>
      <c r="F235" s="124">
        <v>3987246</v>
      </c>
      <c r="G235" s="124">
        <f t="shared" si="8"/>
        <v>15942608.976000002</v>
      </c>
    </row>
    <row r="236" spans="1:7" ht="25.5" hidden="1" outlineLevel="1">
      <c r="A236" s="122" t="s">
        <v>275</v>
      </c>
      <c r="B236" s="123" t="s">
        <v>276</v>
      </c>
      <c r="C236" s="124">
        <v>170499.20000000001</v>
      </c>
      <c r="D236" s="124">
        <v>220970</v>
      </c>
      <c r="E236" s="124">
        <v>379488</v>
      </c>
      <c r="F236" s="124">
        <v>473008</v>
      </c>
      <c r="G236" s="124">
        <f>+C236*12*1.185</f>
        <v>2424498.6240000003</v>
      </c>
    </row>
    <row r="237" spans="1:7" hidden="1" outlineLevel="1">
      <c r="A237" s="122" t="s">
        <v>676</v>
      </c>
      <c r="B237" s="123" t="s">
        <v>278</v>
      </c>
      <c r="C237" s="124">
        <v>54556.318333333336</v>
      </c>
      <c r="D237" s="124">
        <v>91250.09</v>
      </c>
      <c r="E237" s="124">
        <v>148287.91</v>
      </c>
      <c r="F237" s="124">
        <v>179050</v>
      </c>
      <c r="G237" s="124">
        <f t="shared" si="8"/>
        <v>654675.82000000007</v>
      </c>
    </row>
    <row r="238" spans="1:7" hidden="1" outlineLevel="1">
      <c r="A238" s="122" t="s">
        <v>677</v>
      </c>
      <c r="B238" s="123" t="s">
        <v>277</v>
      </c>
      <c r="C238" s="124">
        <v>43835.5</v>
      </c>
      <c r="D238" s="124">
        <v>52199</v>
      </c>
      <c r="E238" s="124">
        <v>108832</v>
      </c>
      <c r="F238" s="124">
        <v>154181</v>
      </c>
      <c r="G238" s="124">
        <f t="shared" si="8"/>
        <v>526026</v>
      </c>
    </row>
    <row r="239" spans="1:7" hidden="1" outlineLevel="1">
      <c r="A239" s="122" t="s">
        <v>678</v>
      </c>
      <c r="B239" s="123" t="s">
        <v>279</v>
      </c>
      <c r="C239" s="124">
        <v>7774693.2000000002</v>
      </c>
      <c r="D239" s="124">
        <v>12397607</v>
      </c>
      <c r="E239" s="124">
        <v>20922301</v>
      </c>
      <c r="F239" s="124">
        <v>23704419</v>
      </c>
      <c r="G239" s="124">
        <f t="shared" si="8"/>
        <v>93296318.400000006</v>
      </c>
    </row>
    <row r="240" spans="1:7" hidden="1" outlineLevel="1">
      <c r="A240" s="122" t="s">
        <v>679</v>
      </c>
      <c r="B240" s="123" t="s">
        <v>280</v>
      </c>
      <c r="C240" s="124">
        <v>476015.8</v>
      </c>
      <c r="D240" s="124">
        <v>785861.74</v>
      </c>
      <c r="E240" s="124">
        <v>1450350</v>
      </c>
      <c r="F240" s="124">
        <v>1332827</v>
      </c>
      <c r="G240" s="124">
        <f t="shared" si="8"/>
        <v>5712189.5999999996</v>
      </c>
    </row>
    <row r="241" spans="1:7" hidden="1" outlineLevel="1">
      <c r="A241" s="122" t="s">
        <v>680</v>
      </c>
      <c r="B241" s="123" t="s">
        <v>281</v>
      </c>
      <c r="C241" s="124">
        <v>38017.4</v>
      </c>
      <c r="D241" s="124">
        <v>151844.59</v>
      </c>
      <c r="E241" s="124">
        <v>105447.6</v>
      </c>
      <c r="F241" s="124">
        <v>46622</v>
      </c>
      <c r="G241" s="124">
        <f>+C241*12*1.046</f>
        <v>477194.40480000008</v>
      </c>
    </row>
    <row r="242" spans="1:7" hidden="1" outlineLevel="1">
      <c r="A242" s="122" t="s">
        <v>681</v>
      </c>
      <c r="B242" s="123" t="s">
        <v>282</v>
      </c>
      <c r="C242" s="124">
        <v>7834.6100000000006</v>
      </c>
      <c r="D242" s="124">
        <v>52478.76</v>
      </c>
      <c r="E242" s="124">
        <v>46077.24</v>
      </c>
      <c r="F242" s="124">
        <v>23974</v>
      </c>
      <c r="G242" s="124">
        <f t="shared" ref="G242:G243" si="9">+C242*12*1.046</f>
        <v>98340.024720000016</v>
      </c>
    </row>
    <row r="243" spans="1:7" hidden="1" outlineLevel="1">
      <c r="A243" s="122" t="s">
        <v>664</v>
      </c>
      <c r="B243" s="123" t="s">
        <v>283</v>
      </c>
      <c r="C243" s="124">
        <v>24875.227999999999</v>
      </c>
      <c r="D243" s="124">
        <v>89936.86</v>
      </c>
      <c r="E243" s="124">
        <v>137376.28</v>
      </c>
      <c r="F243" s="124">
        <v>53657</v>
      </c>
      <c r="G243" s="124">
        <f t="shared" si="9"/>
        <v>312233.86185599997</v>
      </c>
    </row>
    <row r="244" spans="1:7" hidden="1" outlineLevel="1">
      <c r="A244" s="122" t="s">
        <v>284</v>
      </c>
      <c r="B244" s="123" t="s">
        <v>285</v>
      </c>
      <c r="C244" s="124">
        <v>131434.66666666666</v>
      </c>
      <c r="D244" s="124">
        <v>252259</v>
      </c>
      <c r="E244" s="124">
        <v>441370</v>
      </c>
      <c r="F244" s="124">
        <v>347238</v>
      </c>
      <c r="G244" s="124">
        <f>+C244*12*1.055</f>
        <v>1663962.88</v>
      </c>
    </row>
    <row r="245" spans="1:7" hidden="1" outlineLevel="1">
      <c r="A245" s="122" t="s">
        <v>671</v>
      </c>
      <c r="B245" s="123" t="s">
        <v>287</v>
      </c>
      <c r="C245" s="124">
        <v>478196</v>
      </c>
      <c r="D245" s="124">
        <v>1037705</v>
      </c>
      <c r="E245" s="124">
        <v>1306272</v>
      </c>
      <c r="F245" s="124">
        <v>1562904</v>
      </c>
      <c r="G245" s="124">
        <f t="shared" ref="G245:G256" si="10">+C245*12</f>
        <v>5738352</v>
      </c>
    </row>
    <row r="246" spans="1:7" hidden="1" outlineLevel="1">
      <c r="A246" s="122" t="s">
        <v>672</v>
      </c>
      <c r="B246" s="123" t="s">
        <v>288</v>
      </c>
      <c r="C246" s="124">
        <v>134219.75</v>
      </c>
      <c r="D246" s="124">
        <v>566732</v>
      </c>
      <c r="E246" s="124">
        <v>124992</v>
      </c>
      <c r="F246" s="124">
        <v>411887</v>
      </c>
      <c r="G246" s="124">
        <f t="shared" si="10"/>
        <v>1610637</v>
      </c>
    </row>
    <row r="247" spans="1:7" hidden="1" outlineLevel="1">
      <c r="A247" s="122" t="s">
        <v>673</v>
      </c>
      <c r="B247" s="123" t="s">
        <v>289</v>
      </c>
      <c r="C247" s="124">
        <v>20210</v>
      </c>
      <c r="D247" s="124">
        <v>41448</v>
      </c>
      <c r="E247" s="124">
        <v>59254</v>
      </c>
      <c r="F247" s="124">
        <v>62006</v>
      </c>
      <c r="G247" s="124">
        <f t="shared" si="10"/>
        <v>242520</v>
      </c>
    </row>
    <row r="248" spans="1:7" hidden="1" outlineLevel="1">
      <c r="A248" s="122" t="s">
        <v>674</v>
      </c>
      <c r="B248" s="123" t="s">
        <v>286</v>
      </c>
      <c r="C248" s="124">
        <v>97768.666666666672</v>
      </c>
      <c r="D248" s="124">
        <v>175394</v>
      </c>
      <c r="E248" s="124">
        <v>293309</v>
      </c>
      <c r="F248" s="124">
        <v>293303</v>
      </c>
      <c r="G248" s="124">
        <f t="shared" si="10"/>
        <v>1173224</v>
      </c>
    </row>
    <row r="249" spans="1:7" hidden="1" outlineLevel="1">
      <c r="A249" s="122" t="s">
        <v>675</v>
      </c>
      <c r="B249" s="123" t="s">
        <v>290</v>
      </c>
      <c r="C249" s="124">
        <v>100031.33333333333</v>
      </c>
      <c r="D249" s="124">
        <v>184926</v>
      </c>
      <c r="E249" s="124">
        <v>289817</v>
      </c>
      <c r="F249" s="124">
        <v>310371</v>
      </c>
      <c r="G249" s="124">
        <f t="shared" si="10"/>
        <v>1200376</v>
      </c>
    </row>
    <row r="250" spans="1:7" ht="25.5" hidden="1" outlineLevel="1">
      <c r="A250" s="122" t="s">
        <v>291</v>
      </c>
      <c r="B250" s="123" t="s">
        <v>292</v>
      </c>
      <c r="C250" s="124">
        <v>3252</v>
      </c>
      <c r="D250" s="124"/>
      <c r="E250" s="124">
        <v>10654</v>
      </c>
      <c r="F250" s="124">
        <v>9893</v>
      </c>
      <c r="G250" s="124">
        <f t="shared" si="10"/>
        <v>39024</v>
      </c>
    </row>
    <row r="251" spans="1:7" hidden="1" outlineLevel="1">
      <c r="A251" s="122" t="s">
        <v>665</v>
      </c>
      <c r="B251" s="123" t="s">
        <v>293</v>
      </c>
      <c r="C251" s="124">
        <v>12151</v>
      </c>
      <c r="D251" s="124">
        <v>10804</v>
      </c>
      <c r="E251" s="124">
        <v>52105</v>
      </c>
      <c r="F251" s="124">
        <v>28352</v>
      </c>
      <c r="G251" s="124">
        <f t="shared" si="10"/>
        <v>145812</v>
      </c>
    </row>
    <row r="252" spans="1:7" hidden="1" outlineLevel="1">
      <c r="A252" s="122" t="s">
        <v>666</v>
      </c>
      <c r="B252" s="123" t="s">
        <v>294</v>
      </c>
      <c r="C252" s="124">
        <v>18305.333333333332</v>
      </c>
      <c r="D252" s="124">
        <v>32484</v>
      </c>
      <c r="E252" s="124">
        <v>63339</v>
      </c>
      <c r="F252" s="124">
        <v>46493</v>
      </c>
      <c r="G252" s="124">
        <f t="shared" si="10"/>
        <v>219664</v>
      </c>
    </row>
    <row r="253" spans="1:7" hidden="1" outlineLevel="1">
      <c r="A253" s="122" t="s">
        <v>667</v>
      </c>
      <c r="B253" s="123" t="s">
        <v>295</v>
      </c>
      <c r="C253" s="124">
        <v>60124.666666666664</v>
      </c>
      <c r="D253" s="124">
        <v>72836</v>
      </c>
      <c r="E253" s="124">
        <v>188855</v>
      </c>
      <c r="F253" s="124">
        <v>171893</v>
      </c>
      <c r="G253" s="124">
        <f>+C253*12*1.05</f>
        <v>757570.8</v>
      </c>
    </row>
    <row r="254" spans="1:7" hidden="1" outlineLevel="1">
      <c r="A254" s="122" t="s">
        <v>668</v>
      </c>
      <c r="B254" s="123" t="s">
        <v>297</v>
      </c>
      <c r="C254" s="124">
        <v>180735</v>
      </c>
      <c r="D254" s="124">
        <v>209150</v>
      </c>
      <c r="E254" s="124">
        <v>521315</v>
      </c>
      <c r="F254" s="124">
        <v>563095</v>
      </c>
      <c r="G254" s="124">
        <f t="shared" si="10"/>
        <v>2168820</v>
      </c>
    </row>
    <row r="255" spans="1:7" hidden="1" outlineLevel="1">
      <c r="A255" s="122" t="s">
        <v>669</v>
      </c>
      <c r="B255" s="123" t="s">
        <v>296</v>
      </c>
      <c r="C255" s="124">
        <v>14249.216</v>
      </c>
      <c r="D255" s="124"/>
      <c r="E255" s="124">
        <v>4394.08</v>
      </c>
      <c r="F255" s="124">
        <v>66852</v>
      </c>
      <c r="G255" s="124">
        <f t="shared" si="10"/>
        <v>170990.592</v>
      </c>
    </row>
    <row r="256" spans="1:7" hidden="1" outlineLevel="1">
      <c r="A256" s="122" t="s">
        <v>670</v>
      </c>
      <c r="B256" s="123" t="s">
        <v>298</v>
      </c>
      <c r="C256" s="124">
        <v>210762.75</v>
      </c>
      <c r="D256" s="124">
        <v>837756</v>
      </c>
      <c r="E256" s="124">
        <v>101056</v>
      </c>
      <c r="F256" s="124">
        <v>646568</v>
      </c>
      <c r="G256" s="124">
        <f t="shared" si="10"/>
        <v>2529153</v>
      </c>
    </row>
    <row r="257" spans="1:7" ht="25.5" hidden="1" outlineLevel="1">
      <c r="A257" s="122" t="s">
        <v>299</v>
      </c>
      <c r="B257" s="123" t="s">
        <v>300</v>
      </c>
      <c r="C257" s="124">
        <v>119288.66666666667</v>
      </c>
      <c r="D257" s="124">
        <v>102178</v>
      </c>
      <c r="E257" s="124">
        <v>393772</v>
      </c>
      <c r="F257" s="124">
        <v>321960</v>
      </c>
      <c r="G257" s="124">
        <f>+C257*12*1.055</f>
        <v>1510194.52</v>
      </c>
    </row>
    <row r="258" spans="1:7" ht="25.5" hidden="1" outlineLevel="1">
      <c r="A258" s="122" t="s">
        <v>301</v>
      </c>
      <c r="B258" s="123" t="s">
        <v>302</v>
      </c>
      <c r="C258" s="124">
        <v>29620.333333333332</v>
      </c>
      <c r="D258" s="124">
        <v>17585</v>
      </c>
      <c r="E258" s="124">
        <v>51856</v>
      </c>
      <c r="F258" s="124">
        <v>125866</v>
      </c>
      <c r="G258" s="124">
        <f>+C258*12*1.185</f>
        <v>421201.14</v>
      </c>
    </row>
    <row r="259" spans="1:7" ht="38.25" hidden="1" outlineLevel="1">
      <c r="A259" s="122" t="s">
        <v>303</v>
      </c>
      <c r="B259" s="123" t="s">
        <v>304</v>
      </c>
      <c r="C259" s="124">
        <v>7394.2449999999999</v>
      </c>
      <c r="D259" s="124">
        <v>12574</v>
      </c>
      <c r="E259" s="124">
        <v>20361</v>
      </c>
      <c r="F259" s="124">
        <v>24004.47</v>
      </c>
      <c r="G259" s="124">
        <f>+C259*12</f>
        <v>88730.94</v>
      </c>
    </row>
    <row r="260" spans="1:7" hidden="1" outlineLevel="1">
      <c r="A260" s="122" t="s">
        <v>682</v>
      </c>
      <c r="B260" s="123" t="s">
        <v>617</v>
      </c>
      <c r="C260" s="124">
        <v>115285.5</v>
      </c>
      <c r="D260" s="124"/>
      <c r="E260" s="124"/>
      <c r="F260" s="124">
        <v>230571</v>
      </c>
      <c r="G260" s="124">
        <f>+C260*12</f>
        <v>1383426</v>
      </c>
    </row>
    <row r="261" spans="1:7" ht="38.25" hidden="1" outlineLevel="1">
      <c r="A261" s="122" t="s">
        <v>305</v>
      </c>
      <c r="B261" s="123" t="s">
        <v>306</v>
      </c>
      <c r="C261" s="124">
        <v>13953.666666666666</v>
      </c>
      <c r="D261" s="124">
        <v>17997</v>
      </c>
      <c r="E261" s="124">
        <v>45090</v>
      </c>
      <c r="F261" s="124">
        <v>38632</v>
      </c>
      <c r="G261" s="124">
        <f t="shared" ref="G261:G273" si="11">+C261*12*1.185</f>
        <v>198421.14</v>
      </c>
    </row>
    <row r="262" spans="1:7" hidden="1" outlineLevel="1">
      <c r="A262" s="122" t="s">
        <v>307</v>
      </c>
      <c r="B262" s="123" t="s">
        <v>308</v>
      </c>
      <c r="C262" s="124">
        <v>20898.666666666668</v>
      </c>
      <c r="D262" s="124">
        <v>30270</v>
      </c>
      <c r="E262" s="124">
        <v>70208</v>
      </c>
      <c r="F262" s="124">
        <v>55184</v>
      </c>
      <c r="G262" s="124">
        <f t="shared" si="11"/>
        <v>297179.04000000004</v>
      </c>
    </row>
    <row r="263" spans="1:7" ht="25.5" hidden="1" outlineLevel="1">
      <c r="A263" s="122" t="s">
        <v>309</v>
      </c>
      <c r="B263" s="123" t="s">
        <v>310</v>
      </c>
      <c r="C263" s="124">
        <v>64443.638333333336</v>
      </c>
      <c r="D263" s="124">
        <v>-250</v>
      </c>
      <c r="E263" s="124">
        <v>225062.83</v>
      </c>
      <c r="F263" s="124">
        <v>161599</v>
      </c>
      <c r="G263" s="124">
        <f t="shared" si="11"/>
        <v>916388.53710000007</v>
      </c>
    </row>
    <row r="264" spans="1:7" ht="25.5" hidden="1" outlineLevel="1">
      <c r="A264" s="122" t="s">
        <v>311</v>
      </c>
      <c r="B264" s="123" t="s">
        <v>312</v>
      </c>
      <c r="C264" s="124">
        <v>135661.66666666666</v>
      </c>
      <c r="D264" s="124">
        <v>214144.75</v>
      </c>
      <c r="E264" s="124">
        <v>418492</v>
      </c>
      <c r="F264" s="124">
        <v>395478</v>
      </c>
      <c r="G264" s="124">
        <f t="shared" si="11"/>
        <v>1929108.9000000001</v>
      </c>
    </row>
    <row r="265" spans="1:7" ht="25.5" hidden="1" outlineLevel="1">
      <c r="A265" s="122" t="s">
        <v>313</v>
      </c>
      <c r="B265" s="123" t="s">
        <v>314</v>
      </c>
      <c r="C265" s="124">
        <v>486761.25</v>
      </c>
      <c r="D265" s="124">
        <v>738681</v>
      </c>
      <c r="E265" s="124">
        <v>1243020</v>
      </c>
      <c r="F265" s="124">
        <v>1445621</v>
      </c>
      <c r="G265" s="124">
        <f t="shared" si="11"/>
        <v>6921744.9750000006</v>
      </c>
    </row>
    <row r="266" spans="1:7" ht="25.5" hidden="1" outlineLevel="1">
      <c r="A266" s="122" t="s">
        <v>315</v>
      </c>
      <c r="B266" s="123" t="s">
        <v>316</v>
      </c>
      <c r="C266" s="124">
        <v>43544.166666666664</v>
      </c>
      <c r="D266" s="124">
        <v>61565</v>
      </c>
      <c r="E266" s="124">
        <v>139528</v>
      </c>
      <c r="F266" s="124">
        <v>121737</v>
      </c>
      <c r="G266" s="124">
        <f>+C266*12*1.055</f>
        <v>551269.15</v>
      </c>
    </row>
    <row r="267" spans="1:7" ht="25.5" hidden="1" outlineLevel="1">
      <c r="A267" s="122" t="s">
        <v>317</v>
      </c>
      <c r="B267" s="123" t="s">
        <v>318</v>
      </c>
      <c r="C267" s="124">
        <v>233341.74666666667</v>
      </c>
      <c r="D267" s="124">
        <v>186900</v>
      </c>
      <c r="E267" s="124">
        <v>725378</v>
      </c>
      <c r="F267" s="124">
        <v>674672.48</v>
      </c>
      <c r="G267" s="124">
        <f t="shared" si="11"/>
        <v>3318119.6376</v>
      </c>
    </row>
    <row r="268" spans="1:7" ht="25.5" hidden="1" outlineLevel="1">
      <c r="A268" s="122" t="s">
        <v>20</v>
      </c>
      <c r="B268" s="123" t="s">
        <v>21</v>
      </c>
      <c r="C268" s="124">
        <v>476639</v>
      </c>
      <c r="D268" s="124">
        <v>566573</v>
      </c>
      <c r="E268" s="124">
        <v>1667252</v>
      </c>
      <c r="F268" s="124">
        <v>1192582</v>
      </c>
      <c r="G268" s="124">
        <f>+C268*12*1.055</f>
        <v>6034249.7399999993</v>
      </c>
    </row>
    <row r="269" spans="1:7" ht="25.5" hidden="1" outlineLevel="1">
      <c r="A269" s="122" t="s">
        <v>319</v>
      </c>
      <c r="B269" s="123" t="s">
        <v>320</v>
      </c>
      <c r="C269" s="124">
        <v>61135.333333333336</v>
      </c>
      <c r="D269" s="124">
        <v>141703</v>
      </c>
      <c r="E269" s="124">
        <v>193059</v>
      </c>
      <c r="F269" s="124">
        <v>173753</v>
      </c>
      <c r="G269" s="124">
        <f t="shared" ref="G269:G272" si="12">+C269*12*1.055</f>
        <v>773973.32</v>
      </c>
    </row>
    <row r="270" spans="1:7" ht="25.5" hidden="1" outlineLevel="1">
      <c r="A270" s="122" t="s">
        <v>321</v>
      </c>
      <c r="B270" s="123" t="s">
        <v>322</v>
      </c>
      <c r="C270" s="124">
        <v>3414</v>
      </c>
      <c r="D270" s="124">
        <v>3177</v>
      </c>
      <c r="E270" s="124">
        <v>7220</v>
      </c>
      <c r="F270" s="124">
        <v>11776</v>
      </c>
      <c r="G270" s="124">
        <f t="shared" si="12"/>
        <v>43221.24</v>
      </c>
    </row>
    <row r="271" spans="1:7" ht="25.5" hidden="1" outlineLevel="1">
      <c r="A271" s="122" t="s">
        <v>323</v>
      </c>
      <c r="B271" s="123" t="s">
        <v>324</v>
      </c>
      <c r="C271" s="124">
        <v>21476.333333333332</v>
      </c>
      <c r="D271" s="124">
        <v>62171</v>
      </c>
      <c r="E271" s="124">
        <v>68203</v>
      </c>
      <c r="F271" s="124">
        <v>60655</v>
      </c>
      <c r="G271" s="124">
        <f t="shared" si="12"/>
        <v>271890.38</v>
      </c>
    </row>
    <row r="272" spans="1:7" ht="38.25" hidden="1" outlineLevel="1">
      <c r="A272" s="122" t="s">
        <v>325</v>
      </c>
      <c r="B272" s="123" t="s">
        <v>326</v>
      </c>
      <c r="C272" s="124">
        <v>63845.166666666664</v>
      </c>
      <c r="D272" s="124">
        <v>70412</v>
      </c>
      <c r="E272" s="124">
        <v>157098</v>
      </c>
      <c r="F272" s="124">
        <v>225973</v>
      </c>
      <c r="G272" s="124">
        <f t="shared" si="12"/>
        <v>808279.80999999994</v>
      </c>
    </row>
    <row r="273" spans="1:7" ht="25.5" hidden="1" outlineLevel="1">
      <c r="A273" s="122" t="s">
        <v>327</v>
      </c>
      <c r="B273" s="123" t="s">
        <v>328</v>
      </c>
      <c r="C273" s="124">
        <v>156644.13666666669</v>
      </c>
      <c r="D273" s="124">
        <v>361369</v>
      </c>
      <c r="E273" s="124">
        <v>558020.81999999995</v>
      </c>
      <c r="F273" s="124">
        <v>381844</v>
      </c>
      <c r="G273" s="124">
        <f t="shared" si="11"/>
        <v>2227479.6234000004</v>
      </c>
    </row>
    <row r="274" spans="1:7" ht="25.5" hidden="1" outlineLevel="1">
      <c r="A274" s="122" t="s">
        <v>618</v>
      </c>
      <c r="B274" s="123" t="s">
        <v>329</v>
      </c>
      <c r="C274" s="124">
        <v>100405.83333333333</v>
      </c>
      <c r="D274" s="124">
        <v>278795</v>
      </c>
      <c r="E274" s="124">
        <v>258380</v>
      </c>
      <c r="F274" s="124">
        <v>344055</v>
      </c>
      <c r="G274" s="124">
        <f>+C274*12*1.055</f>
        <v>1271137.8499999999</v>
      </c>
    </row>
    <row r="275" spans="1:7" ht="38.25" hidden="1" outlineLevel="1">
      <c r="A275" s="122" t="s">
        <v>619</v>
      </c>
      <c r="B275" s="123" t="s">
        <v>330</v>
      </c>
      <c r="C275" s="124">
        <v>29100.666666666668</v>
      </c>
      <c r="D275" s="124">
        <v>48774</v>
      </c>
      <c r="E275" s="124">
        <v>63573</v>
      </c>
      <c r="F275" s="124">
        <v>111031</v>
      </c>
      <c r="G275" s="124">
        <f t="shared" ref="G275:G279" si="13">+C275*12*1.055</f>
        <v>368414.44</v>
      </c>
    </row>
    <row r="276" spans="1:7" ht="25.5" hidden="1" outlineLevel="1">
      <c r="A276" s="122" t="s">
        <v>620</v>
      </c>
      <c r="B276" s="123" t="s">
        <v>331</v>
      </c>
      <c r="C276" s="124">
        <v>20753.5</v>
      </c>
      <c r="D276" s="124">
        <v>40864</v>
      </c>
      <c r="E276" s="124">
        <v>84664</v>
      </c>
      <c r="F276" s="124">
        <v>39857</v>
      </c>
      <c r="G276" s="124">
        <f t="shared" si="13"/>
        <v>262739.31</v>
      </c>
    </row>
    <row r="277" spans="1:7" ht="25.5" hidden="1" outlineLevel="1">
      <c r="A277" s="122" t="s">
        <v>621</v>
      </c>
      <c r="B277" s="123" t="s">
        <v>332</v>
      </c>
      <c r="C277" s="124">
        <v>349452.5</v>
      </c>
      <c r="D277" s="124">
        <v>644650</v>
      </c>
      <c r="E277" s="124">
        <v>1047078</v>
      </c>
      <c r="F277" s="124">
        <v>1049637</v>
      </c>
      <c r="G277" s="124">
        <f t="shared" si="13"/>
        <v>4424068.6499999994</v>
      </c>
    </row>
    <row r="278" spans="1:7" ht="25.5" hidden="1" outlineLevel="1">
      <c r="A278" s="122" t="s">
        <v>622</v>
      </c>
      <c r="B278" s="123" t="s">
        <v>333</v>
      </c>
      <c r="C278" s="124">
        <v>70416.166666666672</v>
      </c>
      <c r="D278" s="124">
        <v>144005</v>
      </c>
      <c r="E278" s="124">
        <v>207575</v>
      </c>
      <c r="F278" s="124">
        <v>214922</v>
      </c>
      <c r="G278" s="124">
        <f t="shared" si="13"/>
        <v>891468.66999999993</v>
      </c>
    </row>
    <row r="279" spans="1:7" ht="38.25" hidden="1" outlineLevel="1">
      <c r="A279" s="122" t="s">
        <v>623</v>
      </c>
      <c r="B279" s="123" t="s">
        <v>334</v>
      </c>
      <c r="C279" s="124">
        <v>30619.166666666668</v>
      </c>
      <c r="D279" s="124">
        <v>64263</v>
      </c>
      <c r="E279" s="124">
        <v>79631</v>
      </c>
      <c r="F279" s="124">
        <v>104084</v>
      </c>
      <c r="G279" s="124">
        <f t="shared" si="13"/>
        <v>387638.64999999997</v>
      </c>
    </row>
    <row r="280" spans="1:7" hidden="1" outlineLevel="1">
      <c r="A280" s="122" t="s">
        <v>624</v>
      </c>
      <c r="B280" s="123" t="s">
        <v>335</v>
      </c>
      <c r="C280" s="124">
        <v>2032.2</v>
      </c>
      <c r="D280" s="124">
        <v>3170</v>
      </c>
      <c r="E280" s="124">
        <v>9507.5</v>
      </c>
      <c r="F280" s="124">
        <v>6606.5</v>
      </c>
      <c r="G280" s="124">
        <f>+C280*12</f>
        <v>24386.400000000001</v>
      </c>
    </row>
    <row r="281" spans="1:7" hidden="1" outlineLevel="1">
      <c r="A281" s="122" t="s">
        <v>625</v>
      </c>
      <c r="B281" s="123" t="s">
        <v>336</v>
      </c>
      <c r="C281" s="124">
        <v>3798.3333333333335</v>
      </c>
      <c r="D281" s="124">
        <v>6590.73</v>
      </c>
      <c r="E281" s="124">
        <v>11213</v>
      </c>
      <c r="F281" s="124">
        <v>11577</v>
      </c>
      <c r="G281" s="124">
        <f>+C281*12</f>
        <v>45580</v>
      </c>
    </row>
    <row r="282" spans="1:7" ht="25.5" hidden="1" outlineLevel="1">
      <c r="A282" s="122" t="s">
        <v>337</v>
      </c>
      <c r="B282" s="123" t="s">
        <v>338</v>
      </c>
      <c r="C282" s="124">
        <v>72806.666666666672</v>
      </c>
      <c r="D282" s="124">
        <v>59206</v>
      </c>
      <c r="E282" s="124">
        <v>201319</v>
      </c>
      <c r="F282" s="124">
        <v>235521</v>
      </c>
      <c r="G282" s="124">
        <f>+C282*12*1.185</f>
        <v>1035310.8</v>
      </c>
    </row>
    <row r="283" spans="1:7" ht="25.5" hidden="1" outlineLevel="1">
      <c r="A283" s="122" t="s">
        <v>339</v>
      </c>
      <c r="B283" s="123" t="s">
        <v>340</v>
      </c>
      <c r="C283" s="124">
        <v>13664.548333333332</v>
      </c>
      <c r="D283" s="124">
        <v>7631</v>
      </c>
      <c r="E283" s="124">
        <v>43585</v>
      </c>
      <c r="F283" s="124">
        <v>38402.29</v>
      </c>
      <c r="G283" s="124">
        <f>+C283*12</f>
        <v>163974.57999999999</v>
      </c>
    </row>
    <row r="284" spans="1:7" ht="25.5" hidden="1" outlineLevel="1">
      <c r="A284" s="122" t="s">
        <v>341</v>
      </c>
      <c r="B284" s="123" t="s">
        <v>342</v>
      </c>
      <c r="C284" s="124">
        <v>194416.33333333334</v>
      </c>
      <c r="D284" s="124">
        <v>266672</v>
      </c>
      <c r="E284" s="124">
        <v>561275</v>
      </c>
      <c r="F284" s="124">
        <v>605223</v>
      </c>
      <c r="G284" s="124">
        <f>+C284*12</f>
        <v>2332996</v>
      </c>
    </row>
    <row r="285" spans="1:7" collapsed="1">
      <c r="A285" s="128"/>
      <c r="B285" s="129"/>
      <c r="C285" s="130">
        <f>SUM(C8:C284)</f>
        <v>50936975.837333329</v>
      </c>
      <c r="D285" s="130">
        <v>80873275</v>
      </c>
      <c r="E285" s="130">
        <v>145598445.36000001</v>
      </c>
      <c r="F285" s="130">
        <v>147617074.05000001</v>
      </c>
      <c r="G285" s="130">
        <f>SUM(G8:G284)</f>
        <v>635914246.99387562</v>
      </c>
    </row>
    <row r="287" spans="1:7">
      <c r="A287" s="131" t="s">
        <v>626</v>
      </c>
      <c r="C287" s="132"/>
      <c r="D287" s="133"/>
      <c r="E287" s="133"/>
      <c r="F287" s="133"/>
      <c r="G287" s="132">
        <v>0.58779999999999999</v>
      </c>
    </row>
    <row r="289" spans="3:7">
      <c r="C289" s="130">
        <f>+C285*C287</f>
        <v>0</v>
      </c>
      <c r="D289" s="130">
        <f t="shared" ref="D289:G289" si="14">+D285*D287</f>
        <v>0</v>
      </c>
      <c r="E289" s="130">
        <f t="shared" si="14"/>
        <v>0</v>
      </c>
      <c r="F289" s="130">
        <f t="shared" si="14"/>
        <v>0</v>
      </c>
      <c r="G289" s="130">
        <f t="shared" si="14"/>
        <v>373790394.38300008</v>
      </c>
    </row>
  </sheetData>
  <mergeCells count="3">
    <mergeCell ref="A1:G1"/>
    <mergeCell ref="A6:B6"/>
    <mergeCell ref="C6:G6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7" sqref="E7:E9"/>
    </sheetView>
  </sheetViews>
  <sheetFormatPr defaultColWidth="9.140625" defaultRowHeight="14.25"/>
  <cols>
    <col min="1" max="1" width="48.85546875" style="5" customWidth="1"/>
    <col min="2" max="2" width="13.42578125" style="5" customWidth="1"/>
    <col min="3" max="3" width="17.7109375" style="5" customWidth="1"/>
    <col min="4" max="4" width="13.85546875" style="5" customWidth="1"/>
    <col min="5" max="5" width="17.28515625" style="5" customWidth="1"/>
    <col min="6" max="6" width="12.7109375" style="5" customWidth="1"/>
    <col min="7" max="16384" width="9.140625" style="5"/>
  </cols>
  <sheetData>
    <row r="1" spans="1:5" ht="15" customHeight="1">
      <c r="B1" s="83" t="s">
        <v>9</v>
      </c>
    </row>
    <row r="2" spans="1:5" ht="15" customHeight="1">
      <c r="B2" s="84" t="s">
        <v>10</v>
      </c>
      <c r="C2" s="85" t="s">
        <v>11</v>
      </c>
    </row>
    <row r="3" spans="1:5" ht="15" customHeight="1">
      <c r="B3" s="84" t="s">
        <v>12</v>
      </c>
      <c r="C3" s="85" t="s">
        <v>13</v>
      </c>
    </row>
    <row r="4" spans="1:5" ht="15" customHeight="1">
      <c r="B4" s="84" t="s">
        <v>14</v>
      </c>
      <c r="C4" s="80" t="s">
        <v>15</v>
      </c>
    </row>
    <row r="5" spans="1:5" ht="15" customHeight="1">
      <c r="B5" s="84" t="s">
        <v>16</v>
      </c>
      <c r="C5" s="85" t="s">
        <v>17</v>
      </c>
      <c r="E5" s="72"/>
    </row>
    <row r="6" spans="1:5" ht="15" customHeight="1">
      <c r="A6" s="30" t="s">
        <v>18</v>
      </c>
      <c r="B6" s="30" t="s">
        <v>19</v>
      </c>
      <c r="C6" s="86">
        <v>2021</v>
      </c>
      <c r="D6" s="86">
        <v>2022</v>
      </c>
      <c r="E6" s="134" t="s">
        <v>632</v>
      </c>
    </row>
    <row r="7" spans="1:5" ht="31.5" customHeight="1">
      <c r="A7" s="76" t="s">
        <v>20</v>
      </c>
      <c r="B7" s="87" t="s">
        <v>21</v>
      </c>
      <c r="C7" s="81"/>
      <c r="D7" s="81"/>
      <c r="E7" s="81">
        <v>5763</v>
      </c>
    </row>
    <row r="8" spans="1:5">
      <c r="A8" s="76" t="s">
        <v>460</v>
      </c>
      <c r="B8" s="87" t="s">
        <v>22</v>
      </c>
      <c r="C8" s="81">
        <v>1325569</v>
      </c>
      <c r="D8" s="81">
        <v>1607480</v>
      </c>
      <c r="E8" s="81">
        <v>437063.23</v>
      </c>
    </row>
    <row r="9" spans="1:5">
      <c r="A9" s="76" t="s">
        <v>386</v>
      </c>
      <c r="B9" s="87" t="s">
        <v>23</v>
      </c>
      <c r="C9" s="81"/>
      <c r="D9" s="81"/>
      <c r="E9" s="81">
        <v>-102733</v>
      </c>
    </row>
    <row r="10" spans="1:5" ht="15" customHeight="1">
      <c r="A10" s="88" t="s">
        <v>24</v>
      </c>
      <c r="B10" s="88"/>
      <c r="C10" s="81">
        <v>1325569</v>
      </c>
      <c r="D10" s="81">
        <v>1607480</v>
      </c>
      <c r="E10" s="82">
        <f>SUM(E7:E9)</f>
        <v>340093.23</v>
      </c>
    </row>
    <row r="11" spans="1:5" ht="15" hidden="1" customHeight="1">
      <c r="A11" s="65"/>
      <c r="B11" s="65"/>
      <c r="C11" s="65"/>
      <c r="D11" s="81">
        <f>+C8+D8</f>
        <v>2933049</v>
      </c>
    </row>
    <row r="12" spans="1:5">
      <c r="A12" s="65"/>
      <c r="B12" s="65"/>
      <c r="C12" s="106" t="s">
        <v>466</v>
      </c>
      <c r="D12" s="107">
        <f>D8/C8</f>
        <v>1.2126716904212456</v>
      </c>
    </row>
    <row r="13" spans="1:5" ht="15" customHeight="1">
      <c r="A13" s="65" t="s">
        <v>468</v>
      </c>
      <c r="B13" s="91"/>
      <c r="C13" s="92"/>
      <c r="D13" s="81">
        <f>+D11/2</f>
        <v>1466524.5</v>
      </c>
    </row>
    <row r="14" spans="1:5" ht="15" customHeight="1">
      <c r="D14" s="71" t="s">
        <v>628</v>
      </c>
      <c r="E14" s="81">
        <f>+D13-E8</f>
        <v>1029461.27</v>
      </c>
    </row>
    <row r="15" spans="1:5" ht="15" customHeight="1">
      <c r="C15" s="72" t="s">
        <v>467</v>
      </c>
      <c r="D15" s="94">
        <v>0.49619999999999997</v>
      </c>
      <c r="E15" s="82">
        <f>+E14*D15</f>
        <v>510818.68217399996</v>
      </c>
    </row>
    <row r="16" spans="1:5" ht="15" customHeight="1">
      <c r="D16" s="72" t="s">
        <v>627</v>
      </c>
      <c r="E16" s="81">
        <v>896395</v>
      </c>
    </row>
    <row r="17" spans="3:5" ht="15" customHeight="1">
      <c r="C17" s="93" t="s">
        <v>469</v>
      </c>
      <c r="D17" s="93" t="s">
        <v>470</v>
      </c>
      <c r="E17" s="82">
        <f>+E16+E15</f>
        <v>1407213.682174</v>
      </c>
    </row>
    <row r="18" spans="3:5" ht="15">
      <c r="C18" s="81">
        <v>661458.93000000005</v>
      </c>
      <c r="D18" s="81">
        <v>1241818.26</v>
      </c>
      <c r="E18" s="90">
        <v>1407000</v>
      </c>
    </row>
    <row r="20" spans="3:5">
      <c r="D20" s="89"/>
      <c r="E20" s="89"/>
    </row>
    <row r="21" spans="3:5">
      <c r="D21" s="89"/>
      <c r="E21" s="89"/>
    </row>
    <row r="22" spans="3:5">
      <c r="C22" s="89"/>
      <c r="D22" s="89"/>
      <c r="E22" s="89"/>
    </row>
    <row r="23" spans="3:5">
      <c r="C23" s="89"/>
      <c r="D23" s="89"/>
      <c r="E23" s="89"/>
    </row>
    <row r="25" spans="3:5">
      <c r="C25" s="89"/>
    </row>
    <row r="26" spans="3:5">
      <c r="C26" s="89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G13" sqref="G13"/>
    </sheetView>
  </sheetViews>
  <sheetFormatPr defaultRowHeight="15"/>
  <cols>
    <col min="1" max="1" width="29.7109375" customWidth="1"/>
    <col min="2" max="2" width="16.42578125" customWidth="1"/>
    <col min="3" max="3" width="15" customWidth="1"/>
    <col min="4" max="4" width="13.7109375" bestFit="1" customWidth="1"/>
    <col min="5" max="5" width="11.85546875" bestFit="1" customWidth="1"/>
  </cols>
  <sheetData>
    <row r="1" spans="1:5">
      <c r="A1" s="71"/>
      <c r="B1" s="72" t="s">
        <v>10</v>
      </c>
      <c r="C1" s="73" t="s">
        <v>461</v>
      </c>
      <c r="D1" s="101" t="s">
        <v>507</v>
      </c>
    </row>
    <row r="2" spans="1:5">
      <c r="A2" s="71"/>
      <c r="B2" s="72" t="s">
        <v>12</v>
      </c>
      <c r="C2" s="73" t="s">
        <v>13</v>
      </c>
    </row>
    <row r="3" spans="1:5">
      <c r="A3" s="71"/>
      <c r="B3" s="72" t="s">
        <v>14</v>
      </c>
      <c r="C3" s="73" t="s">
        <v>15</v>
      </c>
    </row>
    <row r="4" spans="1:5">
      <c r="A4" s="71"/>
      <c r="B4" s="72" t="s">
        <v>16</v>
      </c>
      <c r="C4" s="73" t="s">
        <v>465</v>
      </c>
    </row>
    <row r="5" spans="1:5">
      <c r="A5" s="74" t="s">
        <v>18</v>
      </c>
      <c r="B5" s="74" t="s">
        <v>19</v>
      </c>
      <c r="C5" s="75">
        <v>2023</v>
      </c>
      <c r="D5" s="75">
        <v>2024</v>
      </c>
    </row>
    <row r="6" spans="1:5">
      <c r="A6" s="76" t="s">
        <v>462</v>
      </c>
      <c r="B6" s="77" t="s">
        <v>261</v>
      </c>
      <c r="C6" s="78">
        <v>44341</v>
      </c>
      <c r="D6" s="67"/>
    </row>
    <row r="7" spans="1:5">
      <c r="A7" s="76" t="s">
        <v>463</v>
      </c>
      <c r="B7" s="77" t="s">
        <v>141</v>
      </c>
      <c r="C7" s="78">
        <v>29885</v>
      </c>
      <c r="D7" s="78">
        <f>+C7</f>
        <v>29885</v>
      </c>
    </row>
    <row r="8" spans="1:5">
      <c r="A8" s="76" t="s">
        <v>458</v>
      </c>
      <c r="B8" s="77" t="s">
        <v>335</v>
      </c>
      <c r="C8" s="78">
        <v>650000</v>
      </c>
      <c r="D8" s="67"/>
    </row>
    <row r="9" spans="1:5">
      <c r="A9" s="76" t="s">
        <v>351</v>
      </c>
      <c r="B9" s="77" t="s">
        <v>84</v>
      </c>
      <c r="C9" s="78">
        <v>13468</v>
      </c>
      <c r="D9" s="67"/>
    </row>
    <row r="10" spans="1:5" ht="26.25">
      <c r="A10" s="76" t="s">
        <v>464</v>
      </c>
      <c r="B10" s="77" t="s">
        <v>256</v>
      </c>
      <c r="C10" s="78">
        <v>143</v>
      </c>
      <c r="D10" s="78">
        <f>+C10</f>
        <v>143</v>
      </c>
    </row>
    <row r="11" spans="1:5">
      <c r="A11" s="79" t="s">
        <v>24</v>
      </c>
      <c r="B11" s="79"/>
      <c r="C11" s="78">
        <v>737837</v>
      </c>
      <c r="D11" s="78">
        <f>SUM(D6:D10)</f>
        <v>30028</v>
      </c>
    </row>
    <row r="13" spans="1:5" ht="103.5" customHeight="1">
      <c r="A13" s="99" t="s">
        <v>513</v>
      </c>
      <c r="B13" s="100"/>
      <c r="C13" s="100"/>
      <c r="D13" s="100"/>
    </row>
    <row r="15" spans="1:5">
      <c r="A15" s="5"/>
      <c r="B15" s="84" t="s">
        <v>10</v>
      </c>
      <c r="C15" s="85" t="s">
        <v>489</v>
      </c>
      <c r="D15" s="101" t="s">
        <v>506</v>
      </c>
      <c r="E15" s="5"/>
    </row>
    <row r="16" spans="1:5">
      <c r="A16" s="5"/>
      <c r="B16" s="84" t="s">
        <v>12</v>
      </c>
      <c r="C16" s="85" t="s">
        <v>13</v>
      </c>
      <c r="D16" s="5"/>
      <c r="E16" s="5"/>
    </row>
    <row r="17" spans="1:5">
      <c r="A17" s="5"/>
      <c r="B17" s="84" t="s">
        <v>14</v>
      </c>
      <c r="C17" s="85" t="s">
        <v>15</v>
      </c>
      <c r="D17" s="5"/>
      <c r="E17" s="5"/>
    </row>
    <row r="18" spans="1:5">
      <c r="A18" s="5"/>
      <c r="B18" s="84" t="s">
        <v>16</v>
      </c>
      <c r="C18" s="85" t="s">
        <v>17</v>
      </c>
      <c r="D18" s="5"/>
      <c r="E18" s="5"/>
    </row>
    <row r="19" spans="1:5">
      <c r="A19" s="30" t="s">
        <v>18</v>
      </c>
      <c r="B19" s="30" t="s">
        <v>19</v>
      </c>
      <c r="C19" s="86">
        <v>2021</v>
      </c>
      <c r="D19" s="86">
        <v>2022</v>
      </c>
      <c r="E19" s="86">
        <v>2023</v>
      </c>
    </row>
    <row r="20" spans="1:5" hidden="1">
      <c r="A20" s="96" t="s">
        <v>490</v>
      </c>
      <c r="B20" s="87" t="s">
        <v>491</v>
      </c>
      <c r="C20" s="81">
        <v>2048752.53</v>
      </c>
      <c r="D20" s="81"/>
      <c r="E20" s="81"/>
    </row>
    <row r="21" spans="1:5">
      <c r="A21" s="97" t="s">
        <v>488</v>
      </c>
      <c r="B21" s="98" t="s">
        <v>261</v>
      </c>
      <c r="C21" s="102">
        <v>3706399</v>
      </c>
      <c r="D21" s="102">
        <v>847418</v>
      </c>
      <c r="E21" s="102">
        <v>6871.4</v>
      </c>
    </row>
    <row r="22" spans="1:5" hidden="1">
      <c r="A22" s="96" t="s">
        <v>400</v>
      </c>
      <c r="B22" s="87" t="s">
        <v>188</v>
      </c>
      <c r="C22" s="78">
        <v>34684</v>
      </c>
      <c r="D22" s="78">
        <v>34055</v>
      </c>
      <c r="E22" s="78">
        <v>1384.73</v>
      </c>
    </row>
    <row r="23" spans="1:5" hidden="1">
      <c r="A23" s="96" t="s">
        <v>478</v>
      </c>
      <c r="B23" s="87" t="s">
        <v>479</v>
      </c>
      <c r="C23" s="78">
        <v>58316</v>
      </c>
      <c r="D23" s="78">
        <v>19996</v>
      </c>
      <c r="E23" s="78"/>
    </row>
    <row r="24" spans="1:5" hidden="1">
      <c r="A24" s="96" t="s">
        <v>474</v>
      </c>
      <c r="B24" s="87" t="s">
        <v>240</v>
      </c>
      <c r="C24" s="78">
        <v>535000</v>
      </c>
      <c r="D24" s="78"/>
      <c r="E24" s="78"/>
    </row>
    <row r="25" spans="1:5" hidden="1">
      <c r="A25" s="96" t="s">
        <v>399</v>
      </c>
      <c r="B25" s="87" t="s">
        <v>187</v>
      </c>
      <c r="C25" s="78">
        <v>9653.02</v>
      </c>
      <c r="D25" s="78"/>
      <c r="E25" s="78">
        <v>-78</v>
      </c>
    </row>
    <row r="26" spans="1:5" hidden="1">
      <c r="A26" s="96" t="s">
        <v>492</v>
      </c>
      <c r="B26" s="87" t="s">
        <v>295</v>
      </c>
      <c r="C26" s="78">
        <v>125000</v>
      </c>
      <c r="D26" s="78">
        <v>220000</v>
      </c>
      <c r="E26" s="78"/>
    </row>
    <row r="27" spans="1:5" hidden="1">
      <c r="A27" s="96" t="s">
        <v>476</v>
      </c>
      <c r="B27" s="87" t="s">
        <v>477</v>
      </c>
      <c r="C27" s="78"/>
      <c r="D27" s="78">
        <v>1334323</v>
      </c>
      <c r="E27" s="78">
        <v>135794</v>
      </c>
    </row>
    <row r="28" spans="1:5" hidden="1">
      <c r="A28" s="96" t="s">
        <v>473</v>
      </c>
      <c r="B28" s="87" t="s">
        <v>239</v>
      </c>
      <c r="C28" s="78">
        <v>177291</v>
      </c>
      <c r="D28" s="78">
        <v>757567</v>
      </c>
      <c r="E28" s="78"/>
    </row>
    <row r="29" spans="1:5" hidden="1">
      <c r="A29" s="96" t="s">
        <v>493</v>
      </c>
      <c r="B29" s="87" t="s">
        <v>251</v>
      </c>
      <c r="C29" s="78">
        <v>312212.92</v>
      </c>
      <c r="D29" s="78">
        <v>344762</v>
      </c>
      <c r="E29" s="78"/>
    </row>
    <row r="30" spans="1:5" hidden="1">
      <c r="A30" s="96" t="s">
        <v>494</v>
      </c>
      <c r="B30" s="87" t="s">
        <v>254</v>
      </c>
      <c r="C30" s="78">
        <v>16008.06</v>
      </c>
      <c r="D30" s="78">
        <v>132516</v>
      </c>
      <c r="E30" s="78"/>
    </row>
    <row r="31" spans="1:5" hidden="1">
      <c r="A31" s="96" t="s">
        <v>495</v>
      </c>
      <c r="B31" s="87" t="s">
        <v>81</v>
      </c>
      <c r="C31" s="78">
        <v>150000</v>
      </c>
      <c r="D31" s="78">
        <v>263400</v>
      </c>
      <c r="E31" s="78">
        <v>104037</v>
      </c>
    </row>
    <row r="32" spans="1:5" hidden="1">
      <c r="A32" s="96" t="s">
        <v>505</v>
      </c>
      <c r="B32" s="87" t="s">
        <v>83</v>
      </c>
      <c r="C32" s="78">
        <v>150000</v>
      </c>
      <c r="D32" s="78">
        <v>188995</v>
      </c>
      <c r="E32" s="78">
        <v>-21011.29</v>
      </c>
    </row>
    <row r="33" spans="1:5" hidden="1">
      <c r="A33" s="96" t="s">
        <v>504</v>
      </c>
      <c r="B33" s="87" t="s">
        <v>496</v>
      </c>
      <c r="C33" s="78">
        <v>24031</v>
      </c>
      <c r="D33" s="78">
        <v>5024.01</v>
      </c>
      <c r="E33" s="78">
        <v>5908</v>
      </c>
    </row>
    <row r="34" spans="1:5">
      <c r="A34" s="97" t="s">
        <v>497</v>
      </c>
      <c r="B34" s="98" t="s">
        <v>335</v>
      </c>
      <c r="C34" s="102">
        <v>674886</v>
      </c>
      <c r="D34" s="102">
        <v>279740</v>
      </c>
      <c r="E34" s="102"/>
    </row>
    <row r="35" spans="1:5" hidden="1">
      <c r="A35" s="96" t="s">
        <v>498</v>
      </c>
      <c r="B35" s="87" t="s">
        <v>499</v>
      </c>
      <c r="C35" s="78">
        <v>89058</v>
      </c>
      <c r="D35" s="78">
        <v>82262</v>
      </c>
      <c r="E35" s="78">
        <v>38719.839999999997</v>
      </c>
    </row>
    <row r="36" spans="1:5">
      <c r="A36" s="97" t="s">
        <v>472</v>
      </c>
      <c r="B36" s="98" t="s">
        <v>84</v>
      </c>
      <c r="C36" s="102">
        <v>11640.25</v>
      </c>
      <c r="D36" s="102">
        <v>24336</v>
      </c>
      <c r="E36" s="102"/>
    </row>
    <row r="37" spans="1:5" hidden="1">
      <c r="A37" s="96" t="s">
        <v>503</v>
      </c>
      <c r="B37" s="87" t="s">
        <v>336</v>
      </c>
      <c r="C37" s="78">
        <v>156455.97</v>
      </c>
      <c r="D37" s="78">
        <v>130358.03</v>
      </c>
      <c r="E37" s="78">
        <v>30330</v>
      </c>
    </row>
    <row r="38" spans="1:5" hidden="1">
      <c r="A38" s="96" t="s">
        <v>471</v>
      </c>
      <c r="B38" s="87" t="s">
        <v>82</v>
      </c>
      <c r="C38" s="78">
        <v>386246.01</v>
      </c>
      <c r="D38" s="78">
        <v>3371786</v>
      </c>
      <c r="E38" s="78">
        <v>11853</v>
      </c>
    </row>
    <row r="39" spans="1:5" hidden="1">
      <c r="A39" s="96" t="s">
        <v>475</v>
      </c>
      <c r="B39" s="87" t="s">
        <v>245</v>
      </c>
      <c r="C39" s="78">
        <v>224651</v>
      </c>
      <c r="D39" s="78">
        <v>551108</v>
      </c>
      <c r="E39" s="78"/>
    </row>
    <row r="40" spans="1:5" hidden="1">
      <c r="A40" s="96" t="s">
        <v>481</v>
      </c>
      <c r="B40" s="87" t="s">
        <v>210</v>
      </c>
      <c r="C40" s="78">
        <v>528656</v>
      </c>
      <c r="D40" s="78">
        <v>757000</v>
      </c>
      <c r="E40" s="78"/>
    </row>
    <row r="41" spans="1:5" hidden="1">
      <c r="A41" s="96" t="s">
        <v>500</v>
      </c>
      <c r="B41" s="87" t="s">
        <v>298</v>
      </c>
      <c r="C41" s="78">
        <v>13633</v>
      </c>
      <c r="D41" s="78">
        <v>16202</v>
      </c>
      <c r="E41" s="78">
        <v>18847</v>
      </c>
    </row>
    <row r="42" spans="1:5" hidden="1">
      <c r="A42" s="96" t="s">
        <v>413</v>
      </c>
      <c r="B42" s="87" t="s">
        <v>219</v>
      </c>
      <c r="C42" s="78">
        <v>347373</v>
      </c>
      <c r="D42" s="78">
        <v>380326</v>
      </c>
      <c r="E42" s="78">
        <v>11844</v>
      </c>
    </row>
    <row r="43" spans="1:5" hidden="1">
      <c r="A43" s="96" t="s">
        <v>501</v>
      </c>
      <c r="B43" s="87" t="s">
        <v>502</v>
      </c>
      <c r="C43" s="78">
        <v>6026</v>
      </c>
      <c r="D43" s="78">
        <v>117.38</v>
      </c>
      <c r="E43" s="78"/>
    </row>
    <row r="44" spans="1:5">
      <c r="A44" s="88" t="s">
        <v>24</v>
      </c>
      <c r="B44" s="88"/>
      <c r="C44" s="78">
        <v>9785972.7599999998</v>
      </c>
      <c r="D44" s="78">
        <v>9741291.4199999999</v>
      </c>
      <c r="E44" s="78">
        <v>344499.68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7" workbookViewId="0">
      <selection activeCell="B19" sqref="B19"/>
    </sheetView>
  </sheetViews>
  <sheetFormatPr defaultRowHeight="15"/>
  <cols>
    <col min="1" max="1" width="21.42578125" customWidth="1"/>
    <col min="2" max="2" width="14.5703125" bestFit="1" customWidth="1"/>
    <col min="3" max="3" width="16" bestFit="1" customWidth="1"/>
    <col min="4" max="5" width="14.42578125" bestFit="1" customWidth="1"/>
    <col min="6" max="6" width="15.7109375" customWidth="1"/>
    <col min="7" max="7" width="10.85546875" customWidth="1"/>
    <col min="8" max="8" width="27.85546875" customWidth="1"/>
    <col min="9" max="10" width="13.5703125" customWidth="1"/>
    <col min="11" max="14" width="16.85546875" customWidth="1"/>
  </cols>
  <sheetData>
    <row r="1" spans="1:15" ht="34.5" customHeight="1">
      <c r="A1" s="1" t="s">
        <v>514</v>
      </c>
      <c r="B1" s="2"/>
      <c r="C1" s="2"/>
      <c r="D1" s="3"/>
      <c r="E1" s="2"/>
      <c r="F1" s="2"/>
      <c r="G1" s="2"/>
      <c r="H1" s="2"/>
      <c r="I1" s="4"/>
      <c r="J1" s="40"/>
      <c r="K1" s="40"/>
      <c r="L1" s="40"/>
      <c r="M1" s="40"/>
      <c r="N1" s="41"/>
      <c r="O1" s="42"/>
    </row>
    <row r="2" spans="1:15" ht="19.5" thickBot="1">
      <c r="A2" s="5"/>
      <c r="B2" s="5"/>
      <c r="C2" s="5"/>
      <c r="D2" s="5"/>
      <c r="E2" s="5"/>
      <c r="F2" s="5"/>
      <c r="G2" s="5"/>
      <c r="H2" s="5"/>
      <c r="I2" s="6"/>
      <c r="J2" s="43"/>
      <c r="K2" s="43"/>
      <c r="L2" s="43"/>
      <c r="M2" s="43"/>
      <c r="N2" s="44"/>
      <c r="O2" s="42"/>
    </row>
    <row r="3" spans="1:15" ht="24">
      <c r="A3" s="7"/>
      <c r="B3" s="8" t="s">
        <v>0</v>
      </c>
      <c r="C3" s="9" t="s">
        <v>1</v>
      </c>
      <c r="D3" s="10"/>
      <c r="E3" s="11" t="s">
        <v>459</v>
      </c>
      <c r="F3" s="12" t="s">
        <v>2</v>
      </c>
      <c r="G3" s="13"/>
      <c r="H3" s="56" t="s">
        <v>3</v>
      </c>
      <c r="I3" s="14"/>
      <c r="O3" s="42"/>
    </row>
    <row r="4" spans="1:15" ht="36.75" thickBot="1">
      <c r="A4" s="15"/>
      <c r="B4" s="16" t="s">
        <v>629</v>
      </c>
      <c r="C4" s="16" t="s">
        <v>38</v>
      </c>
      <c r="D4" s="17" t="s">
        <v>7</v>
      </c>
      <c r="E4" s="18" t="s">
        <v>8</v>
      </c>
      <c r="F4" s="19">
        <v>0.15</v>
      </c>
      <c r="G4" s="20">
        <v>0.13</v>
      </c>
      <c r="H4" s="57"/>
      <c r="I4" s="14"/>
      <c r="L4" s="177"/>
      <c r="O4" s="42"/>
    </row>
    <row r="5" spans="1:15" ht="59.25" customHeight="1">
      <c r="A5" s="52">
        <v>10102010</v>
      </c>
      <c r="B5" s="53">
        <v>392781970</v>
      </c>
      <c r="C5" s="53">
        <v>181010799</v>
      </c>
      <c r="D5" s="54">
        <f t="shared" ref="D5:D10" si="0">+C5+B5</f>
        <v>573792769</v>
      </c>
      <c r="E5" s="49">
        <f>+D5*57.09%</f>
        <v>327578291.82210004</v>
      </c>
      <c r="F5" s="55">
        <f>E5*15/57.09</f>
        <v>86068915.350000009</v>
      </c>
      <c r="G5" s="55"/>
      <c r="H5" s="58" t="s">
        <v>631</v>
      </c>
      <c r="I5" s="14"/>
      <c r="O5" s="42"/>
    </row>
    <row r="6" spans="1:15" ht="18.75">
      <c r="A6" s="21">
        <v>10102020</v>
      </c>
      <c r="B6" s="24">
        <v>1031004</v>
      </c>
      <c r="C6" s="24">
        <v>265195</v>
      </c>
      <c r="D6" s="25">
        <f t="shared" si="0"/>
        <v>1296199</v>
      </c>
      <c r="E6" s="22">
        <f>+D6*57.09%</f>
        <v>740000.00910000014</v>
      </c>
      <c r="F6" s="23">
        <f>E6*15/57.09</f>
        <v>194429.85000000003</v>
      </c>
      <c r="G6" s="23"/>
      <c r="H6" s="59"/>
      <c r="I6" s="14"/>
      <c r="J6" s="45"/>
      <c r="K6" s="46"/>
      <c r="L6" s="47"/>
      <c r="M6" s="47"/>
      <c r="N6" s="47"/>
      <c r="O6" s="42"/>
    </row>
    <row r="7" spans="1:15" ht="18.75">
      <c r="A7" s="21">
        <v>10102030</v>
      </c>
      <c r="B7" s="24">
        <v>5107930</v>
      </c>
      <c r="C7" s="24">
        <v>584836</v>
      </c>
      <c r="D7" s="25">
        <f t="shared" si="0"/>
        <v>5692766</v>
      </c>
      <c r="E7" s="22">
        <f>+D7*57.09%</f>
        <v>3250000.1094000004</v>
      </c>
      <c r="F7" s="23">
        <f>E7*15/57.09</f>
        <v>853914.9</v>
      </c>
      <c r="G7" s="23"/>
      <c r="H7" s="60"/>
      <c r="I7" s="14"/>
      <c r="J7" s="45"/>
      <c r="K7" s="46"/>
      <c r="L7" s="47"/>
      <c r="M7" s="47"/>
      <c r="N7" s="47"/>
      <c r="O7" s="42"/>
    </row>
    <row r="8" spans="1:15" ht="18.75">
      <c r="A8" s="21">
        <v>10102040</v>
      </c>
      <c r="B8" s="24">
        <v>696187</v>
      </c>
      <c r="C8" s="24">
        <v>444226</v>
      </c>
      <c r="D8" s="25">
        <f t="shared" si="0"/>
        <v>1140413</v>
      </c>
      <c r="E8" s="22">
        <f>+D8*42.09%</f>
        <v>479999.83170000004</v>
      </c>
      <c r="F8" s="23"/>
      <c r="G8" s="23"/>
      <c r="H8" s="61" t="s">
        <v>687</v>
      </c>
      <c r="I8" s="14"/>
      <c r="J8" s="14"/>
      <c r="K8" s="14"/>
      <c r="L8" s="14"/>
      <c r="M8" s="178"/>
      <c r="N8" s="14"/>
    </row>
    <row r="9" spans="1:15" ht="31.5" customHeight="1">
      <c r="A9" s="51">
        <v>10102080</v>
      </c>
      <c r="B9" s="24">
        <v>1806520</v>
      </c>
      <c r="C9" s="24">
        <v>1029461.27</v>
      </c>
      <c r="D9" s="25">
        <f t="shared" si="0"/>
        <v>2835981.27</v>
      </c>
      <c r="E9" s="49">
        <f>+D9*49.62%</f>
        <v>1407213.9061739999</v>
      </c>
      <c r="F9" s="50"/>
      <c r="G9" s="50">
        <f>E9*13/49.62</f>
        <v>368677.56509999995</v>
      </c>
      <c r="H9" s="62" t="s">
        <v>630</v>
      </c>
      <c r="I9" s="14"/>
    </row>
    <row r="10" spans="1:15" ht="40.5" customHeight="1" thickBot="1">
      <c r="A10" s="51">
        <v>10102130</v>
      </c>
      <c r="B10" s="64">
        <v>748860</v>
      </c>
      <c r="C10" s="24">
        <v>0</v>
      </c>
      <c r="D10" s="25">
        <f t="shared" si="0"/>
        <v>748860</v>
      </c>
      <c r="E10" s="49">
        <f>+D10*57.09%</f>
        <v>427524.17400000006</v>
      </c>
      <c r="F10" s="55">
        <f>E10*15/57.09</f>
        <v>112329.00000000001</v>
      </c>
      <c r="G10" s="48"/>
      <c r="H10" s="62"/>
      <c r="I10" s="14"/>
    </row>
    <row r="11" spans="1:15" ht="24" customHeight="1" thickBot="1">
      <c r="A11" s="26" t="s">
        <v>6</v>
      </c>
      <c r="B11" s="27">
        <f>SUM(B5:B10)</f>
        <v>402172471</v>
      </c>
      <c r="C11" s="27">
        <f>SUM(C5:C10)</f>
        <v>183334517.27000001</v>
      </c>
      <c r="D11" s="27">
        <f>SUM(D5:D10)</f>
        <v>585506988.26999998</v>
      </c>
      <c r="E11" s="28">
        <f>SUM(E5:E10)</f>
        <v>333883029.85247409</v>
      </c>
      <c r="F11" s="29">
        <f>+F7+F6+F5+F10</f>
        <v>87229589.100000009</v>
      </c>
      <c r="G11" s="29">
        <f>+G9</f>
        <v>368677.56509999995</v>
      </c>
      <c r="H11" s="63"/>
      <c r="I11" s="14"/>
      <c r="K11" s="135"/>
      <c r="L11" s="135"/>
      <c r="M11" s="135"/>
      <c r="N11" s="135"/>
    </row>
    <row r="12" spans="1:15">
      <c r="A12" s="5"/>
      <c r="B12" s="5"/>
      <c r="C12" s="5"/>
      <c r="D12" s="5"/>
      <c r="E12" s="5"/>
      <c r="F12" s="5"/>
      <c r="G12" s="5"/>
      <c r="I12" s="200" t="s">
        <v>633</v>
      </c>
      <c r="J12" s="200"/>
      <c r="K12" s="200"/>
      <c r="L12" s="200"/>
    </row>
    <row r="13" spans="1:15" ht="51">
      <c r="A13" s="5"/>
      <c r="B13" s="5"/>
      <c r="C13" s="5"/>
      <c r="D13" s="5"/>
      <c r="E13" s="5"/>
      <c r="F13" s="5"/>
      <c r="G13" s="5"/>
      <c r="I13" s="179" t="s">
        <v>8</v>
      </c>
      <c r="J13" s="179" t="s">
        <v>688</v>
      </c>
      <c r="K13" s="179" t="s">
        <v>689</v>
      </c>
      <c r="L13" s="179" t="s">
        <v>690</v>
      </c>
    </row>
    <row r="14" spans="1:15">
      <c r="A14" s="65"/>
      <c r="B14" s="111">
        <v>2023</v>
      </c>
      <c r="C14" s="111">
        <v>2024</v>
      </c>
      <c r="D14" s="111">
        <v>2025</v>
      </c>
      <c r="E14" s="111">
        <v>2026</v>
      </c>
      <c r="F14" s="5"/>
      <c r="G14" s="5"/>
      <c r="H14" s="65"/>
      <c r="I14" s="111">
        <v>2023</v>
      </c>
      <c r="J14" s="111">
        <v>2024</v>
      </c>
      <c r="K14" s="111">
        <v>2025</v>
      </c>
      <c r="L14" s="111">
        <v>2026</v>
      </c>
    </row>
    <row r="15" spans="1:15">
      <c r="A15" s="66">
        <v>10102010</v>
      </c>
      <c r="B15" s="69">
        <f t="shared" ref="B15:B20" si="1">ROUND(D5/1000,0)</f>
        <v>573793</v>
      </c>
      <c r="C15" s="69">
        <v>635914</v>
      </c>
      <c r="D15" s="69">
        <v>681244</v>
      </c>
      <c r="E15" s="69">
        <v>732817</v>
      </c>
      <c r="F15" s="5"/>
      <c r="G15" s="5"/>
      <c r="H15" s="66">
        <v>10102010</v>
      </c>
      <c r="I15" s="69">
        <f>+B15*57.09%</f>
        <v>327578.42370000004</v>
      </c>
      <c r="J15" s="69">
        <f>+C15*58.78%</f>
        <v>373790.24920000002</v>
      </c>
      <c r="K15" s="69">
        <f>+D15*59.56%</f>
        <v>405748.9264</v>
      </c>
      <c r="L15" s="69">
        <f>ROUND(E15*60.13%,0)</f>
        <v>440643</v>
      </c>
    </row>
    <row r="16" spans="1:15">
      <c r="A16" s="21">
        <v>10102020</v>
      </c>
      <c r="B16" s="136">
        <f t="shared" si="1"/>
        <v>1296</v>
      </c>
      <c r="C16" s="136">
        <v>1233</v>
      </c>
      <c r="D16" s="136">
        <v>1318</v>
      </c>
      <c r="E16" s="136">
        <v>1414</v>
      </c>
      <c r="H16" s="21">
        <v>10102020</v>
      </c>
      <c r="I16" s="69">
        <f>+B16*57.09%</f>
        <v>739.88640000000009</v>
      </c>
      <c r="J16" s="69">
        <f>+C16*58.78%</f>
        <v>724.75739999999996</v>
      </c>
      <c r="K16" s="69">
        <f>+D16*59.56%</f>
        <v>785.00080000000003</v>
      </c>
      <c r="L16" s="69">
        <f>ROUND(E16*60.13%,0)</f>
        <v>850</v>
      </c>
    </row>
    <row r="17" spans="1:12">
      <c r="A17" s="21">
        <v>10102030</v>
      </c>
      <c r="B17" s="136">
        <v>5693</v>
      </c>
      <c r="C17" s="136">
        <v>5235</v>
      </c>
      <c r="D17" s="136">
        <v>5275</v>
      </c>
      <c r="E17" s="136">
        <v>5240</v>
      </c>
      <c r="H17" s="21">
        <v>10102030</v>
      </c>
      <c r="I17" s="69">
        <f>+B17*57.09%</f>
        <v>3250.1337000000003</v>
      </c>
      <c r="J17" s="69">
        <f>+C17*58.78%</f>
        <v>3077.1329999999998</v>
      </c>
      <c r="K17" s="69">
        <f>+D17*59.56%</f>
        <v>3141.79</v>
      </c>
      <c r="L17" s="69">
        <f>+E17*60.13%</f>
        <v>3150.8120000000004</v>
      </c>
    </row>
    <row r="18" spans="1:12">
      <c r="A18" s="21">
        <v>10102040</v>
      </c>
      <c r="B18" s="136">
        <f t="shared" si="1"/>
        <v>1140</v>
      </c>
      <c r="C18" s="136">
        <v>1217</v>
      </c>
      <c r="D18" s="136">
        <v>1297</v>
      </c>
      <c r="E18" s="136">
        <v>1392</v>
      </c>
      <c r="H18" s="21">
        <v>10102040</v>
      </c>
      <c r="I18" s="69">
        <f>+B18*42.09%</f>
        <v>479.82600000000008</v>
      </c>
      <c r="J18" s="69">
        <f>+C18*43.78%</f>
        <v>532.80259999999998</v>
      </c>
      <c r="K18" s="69">
        <f>+D18*44.56%</f>
        <v>577.94320000000005</v>
      </c>
      <c r="L18" s="69">
        <f>+E18*45.13%</f>
        <v>628.20960000000002</v>
      </c>
    </row>
    <row r="19" spans="1:12">
      <c r="A19" s="68">
        <v>10102080</v>
      </c>
      <c r="B19" s="136">
        <f t="shared" si="1"/>
        <v>2836</v>
      </c>
      <c r="C19" s="136">
        <v>3033</v>
      </c>
      <c r="D19" s="136">
        <v>3245</v>
      </c>
      <c r="E19" s="136">
        <v>3483</v>
      </c>
      <c r="H19" s="68">
        <v>10102080</v>
      </c>
      <c r="I19" s="69">
        <f>+B19*49.62%</f>
        <v>1407.2231999999999</v>
      </c>
      <c r="J19" s="69">
        <f>+C19*51.09%</f>
        <v>1549.5597</v>
      </c>
      <c r="K19" s="69">
        <f>+D19*51.77%</f>
        <v>1679.9365000000003</v>
      </c>
      <c r="L19" s="69">
        <f>+E19*52.26%</f>
        <v>1820.2157999999999</v>
      </c>
    </row>
    <row r="20" spans="1:12">
      <c r="A20" s="68">
        <v>10102130</v>
      </c>
      <c r="B20" s="136">
        <f t="shared" si="1"/>
        <v>749</v>
      </c>
      <c r="C20" s="136">
        <v>31</v>
      </c>
      <c r="D20" s="136">
        <f t="shared" ref="D20" si="2">ROUND(C20*1.04,0)</f>
        <v>32</v>
      </c>
      <c r="E20" s="136">
        <v>32</v>
      </c>
      <c r="H20" s="68">
        <v>10102130</v>
      </c>
      <c r="I20" s="69">
        <f>+B20*57.09%</f>
        <v>427.60410000000007</v>
      </c>
      <c r="J20" s="69">
        <f>+C20*58.78%</f>
        <v>18.221799999999998</v>
      </c>
      <c r="K20" s="69">
        <f>+D20*59.56%</f>
        <v>19.059200000000001</v>
      </c>
      <c r="L20" s="69">
        <f>+E20*60.13%</f>
        <v>19.241600000000002</v>
      </c>
    </row>
    <row r="21" spans="1:12">
      <c r="A21" s="67"/>
      <c r="B21" s="110">
        <f>SUM(B15:B20)</f>
        <v>585507</v>
      </c>
      <c r="C21" s="110">
        <f>SUM(C15:C20)</f>
        <v>646663</v>
      </c>
      <c r="D21" s="110">
        <f>SUM(D15:D20)</f>
        <v>692411</v>
      </c>
      <c r="E21" s="110">
        <f>SUM(E15:E20)</f>
        <v>744378</v>
      </c>
      <c r="H21" s="67"/>
      <c r="I21" s="110">
        <f>SUM(I15:I20)</f>
        <v>333883.09710000007</v>
      </c>
      <c r="J21" s="110">
        <f>SUM(J15:J20)</f>
        <v>379692.72369999997</v>
      </c>
      <c r="K21" s="110">
        <f>SUM(K15:K20)</f>
        <v>411952.65609999996</v>
      </c>
      <c r="L21" s="110">
        <f>SUM(L15:L20)</f>
        <v>447111.47899999999</v>
      </c>
    </row>
    <row r="22" spans="1:12">
      <c r="B22" s="70"/>
      <c r="C22" s="70"/>
      <c r="D22" s="70"/>
      <c r="E22" s="70"/>
    </row>
    <row r="23" spans="1:12" ht="15.75" thickBot="1"/>
    <row r="24" spans="1:12">
      <c r="A24" s="196" t="s">
        <v>2</v>
      </c>
      <c r="B24" s="113" t="s">
        <v>4</v>
      </c>
      <c r="C24" s="198" t="s">
        <v>5</v>
      </c>
      <c r="D24" s="198"/>
      <c r="E24" s="199"/>
    </row>
    <row r="25" spans="1:12">
      <c r="A25" s="197"/>
      <c r="B25" s="30">
        <v>2023</v>
      </c>
      <c r="C25" s="30">
        <v>2024</v>
      </c>
      <c r="D25" s="30">
        <v>2025</v>
      </c>
      <c r="E25" s="31">
        <v>2026</v>
      </c>
    </row>
    <row r="26" spans="1:12">
      <c r="A26" s="32">
        <v>0.15</v>
      </c>
      <c r="B26" s="33">
        <f>ROUND(F11/1000,0)</f>
        <v>87230</v>
      </c>
      <c r="C26" s="33">
        <f>ROUND((C21-C18-C19)*15/100,0)</f>
        <v>96362</v>
      </c>
      <c r="D26" s="33">
        <f t="shared" ref="D26:E26" si="3">ROUND((D21-D18-D19)*15/100,0)</f>
        <v>103180</v>
      </c>
      <c r="E26" s="103">
        <f t="shared" si="3"/>
        <v>110925</v>
      </c>
    </row>
    <row r="27" spans="1:12">
      <c r="A27" s="34">
        <v>0.13</v>
      </c>
      <c r="B27" s="35">
        <f>ROUND(G11/1000,0)</f>
        <v>369</v>
      </c>
      <c r="C27" s="35">
        <f>ROUND(C19*13%,0)</f>
        <v>394</v>
      </c>
      <c r="D27" s="35">
        <f>ROUND(D19*13%,0)</f>
        <v>422</v>
      </c>
      <c r="E27" s="36">
        <f>ROUND(E19*13%,0)</f>
        <v>453</v>
      </c>
    </row>
    <row r="28" spans="1:12" ht="15.75" thickBot="1">
      <c r="A28" s="37"/>
      <c r="B28" s="38"/>
      <c r="C28" s="38"/>
      <c r="D28" s="38"/>
      <c r="E28" s="39"/>
    </row>
    <row r="31" spans="1:12">
      <c r="A31" s="108" t="s">
        <v>511</v>
      </c>
      <c r="B31" s="111">
        <v>2023</v>
      </c>
      <c r="C31" s="111">
        <v>2024</v>
      </c>
      <c r="D31" s="111">
        <v>2025</v>
      </c>
      <c r="E31" s="111">
        <v>2026</v>
      </c>
    </row>
    <row r="32" spans="1:12" ht="30">
      <c r="A32" s="105" t="s">
        <v>508</v>
      </c>
      <c r="B32" s="110">
        <v>4674700</v>
      </c>
      <c r="C32" s="110">
        <v>5094400</v>
      </c>
      <c r="D32" s="110">
        <v>5530400</v>
      </c>
      <c r="E32" s="110">
        <v>6006100</v>
      </c>
    </row>
    <row r="33" spans="1:5">
      <c r="A33" s="104" t="s">
        <v>509</v>
      </c>
      <c r="B33" s="69">
        <f>+B32*12.822%</f>
        <v>599390.03399999999</v>
      </c>
      <c r="C33" s="69">
        <f t="shared" ref="C33:E33" si="4">+C32*12.822%</f>
        <v>653203.96799999999</v>
      </c>
      <c r="D33" s="69">
        <f t="shared" si="4"/>
        <v>709107.88800000004</v>
      </c>
      <c r="E33" s="69">
        <f t="shared" si="4"/>
        <v>770102.14199999999</v>
      </c>
    </row>
    <row r="34" spans="1:5" ht="30">
      <c r="A34" s="105" t="s">
        <v>512</v>
      </c>
      <c r="B34" s="69">
        <v>33938</v>
      </c>
      <c r="C34" s="69">
        <v>33938</v>
      </c>
      <c r="D34" s="69">
        <v>33938</v>
      </c>
      <c r="E34" s="69">
        <v>33938</v>
      </c>
    </row>
    <row r="35" spans="1:5" ht="15.75">
      <c r="A35" s="104" t="s">
        <v>510</v>
      </c>
      <c r="B35" s="109">
        <f>+B33-B34</f>
        <v>565452.03399999999</v>
      </c>
      <c r="C35" s="109">
        <f t="shared" ref="C35:E35" si="5">+C33-C34</f>
        <v>619265.96799999999</v>
      </c>
      <c r="D35" s="109">
        <f t="shared" si="5"/>
        <v>675169.88800000004</v>
      </c>
      <c r="E35" s="109">
        <f t="shared" si="5"/>
        <v>736164.14199999999</v>
      </c>
    </row>
    <row r="36" spans="1:5">
      <c r="C36">
        <f>+C32/B32</f>
        <v>1.0897811624275355</v>
      </c>
      <c r="D36">
        <f>+D32/C32</f>
        <v>1.0855841708542713</v>
      </c>
      <c r="E36">
        <f>+E32/D32</f>
        <v>1.0860154780847677</v>
      </c>
    </row>
  </sheetData>
  <mergeCells count="3">
    <mergeCell ref="A24:A25"/>
    <mergeCell ref="C24:E24"/>
    <mergeCell ref="I12:L12"/>
  </mergeCells>
  <hyperlinks>
    <hyperlink ref="A9" location="'10102080'!A1" display="'10102080'!A1"/>
    <hyperlink ref="A19" location="'10102080'!A1" display="'10102080'!A1"/>
    <hyperlink ref="A10" location="'10102130'!A1" display="'10102130'!A1"/>
    <hyperlink ref="A20" location="'10102130'!A1" display="'10102130'!A1"/>
    <hyperlink ref="H19" location="'10102080'!A1" display="'10102080'!A1"/>
    <hyperlink ref="H20" location="'10102130'!A1" display="'10102130'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прогноз ндфл 2024-2026</vt:lpstr>
      <vt:lpstr>10102010</vt:lpstr>
      <vt:lpstr>10102080</vt:lpstr>
      <vt:lpstr>10102130</vt:lpstr>
      <vt:lpstr>2023-2026</vt:lpstr>
      <vt:lpstr>'10102080'!Область_печати</vt:lpstr>
      <vt:lpstr>'10102130'!Область_печати</vt:lpstr>
      <vt:lpstr>'2023-2026'!Область_печати</vt:lpstr>
      <vt:lpstr>'прогноз ндфл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Кручинская О.Н.</dc:creator>
  <cp:lastModifiedBy>Слугина С.Ю.</cp:lastModifiedBy>
  <cp:lastPrinted>2023-11-09T09:40:45Z</cp:lastPrinted>
  <dcterms:created xsi:type="dcterms:W3CDTF">2023-07-11T05:22:49Z</dcterms:created>
  <dcterms:modified xsi:type="dcterms:W3CDTF">2023-11-09T09:40:57Z</dcterms:modified>
</cp:coreProperties>
</file>